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main/GitHub/premise/premise/data/metals/"/>
    </mc:Choice>
  </mc:AlternateContent>
  <xr:revisionPtr revIDLastSave="0" documentId="13_ncr:1_{890CF4EF-C3B2-0E40-BCF6-215206D440DE}" xr6:coauthVersionLast="47" xr6:coauthVersionMax="47" xr10:uidLastSave="{00000000-0000-0000-0000-000000000000}"/>
  <bookViews>
    <workbookView xWindow="240" yWindow="760" windowWidth="21340" windowHeight="15840" xr2:uid="{00000000-000D-0000-FFFF-FFFF00000000}"/>
  </bookViews>
  <sheets>
    <sheet name="Sheet1" sheetId="1" r:id="rId1"/>
    <sheet name="Pig iron" sheetId="7" r:id="rId2"/>
    <sheet name="Iron, ore" sheetId="6" r:id="rId3"/>
    <sheet name="Rhenium" sheetId="5" r:id="rId4"/>
    <sheet name="BGS" sheetId="4" r:id="rId5"/>
    <sheet name="Copper" sheetId="2" r:id="rId6"/>
    <sheet name="Molybdenum"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25" i="1" l="1"/>
  <c r="C1426" i="1"/>
  <c r="F4" i="7"/>
  <c r="F5" i="7"/>
  <c r="F6" i="7"/>
  <c r="F7" i="7"/>
  <c r="F8" i="7"/>
  <c r="F9" i="7"/>
  <c r="F10" i="7"/>
  <c r="F11" i="7"/>
  <c r="F12" i="7"/>
  <c r="F13" i="7"/>
  <c r="F14" i="7"/>
  <c r="F15" i="7"/>
  <c r="F16" i="7"/>
  <c r="F17" i="7"/>
  <c r="F18" i="7"/>
  <c r="F19" i="7"/>
  <c r="F20" i="7"/>
  <c r="F21" i="7"/>
  <c r="F22" i="7"/>
  <c r="F23" i="7"/>
  <c r="F24" i="7"/>
  <c r="F25" i="7"/>
  <c r="F26" i="7"/>
  <c r="F3" i="7"/>
  <c r="C1400" i="1"/>
  <c r="C1401" i="1"/>
  <c r="F57" i="6"/>
  <c r="F65" i="6"/>
  <c r="F66" i="6"/>
  <c r="F73" i="6"/>
  <c r="F74" i="6"/>
  <c r="A80" i="6"/>
  <c r="F58" i="6" s="1"/>
  <c r="C1372" i="1"/>
  <c r="C1371" i="1"/>
  <c r="C1370" i="1"/>
  <c r="C1369" i="1"/>
  <c r="C1368" i="1"/>
  <c r="A49" i="6"/>
  <c r="F5" i="6" s="1"/>
  <c r="F56" i="6" l="1"/>
  <c r="F61" i="6"/>
  <c r="F72" i="6"/>
  <c r="F64" i="6"/>
  <c r="F53" i="6"/>
  <c r="F71" i="6"/>
  <c r="F63" i="6"/>
  <c r="F55" i="6"/>
  <c r="F78" i="6"/>
  <c r="F70" i="6"/>
  <c r="F62" i="6"/>
  <c r="F54" i="6"/>
  <c r="F77" i="6"/>
  <c r="F69" i="6"/>
  <c r="F76" i="6"/>
  <c r="F68" i="6"/>
  <c r="F60" i="6"/>
  <c r="F75" i="6"/>
  <c r="F67" i="6"/>
  <c r="F59" i="6"/>
  <c r="F3" i="6"/>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1932" i="1"/>
  <c r="C1930" i="1"/>
  <c r="C1915" i="1"/>
  <c r="C1909" i="1"/>
  <c r="C1901" i="1"/>
  <c r="F49" i="6" l="1"/>
  <c r="C1920" i="1"/>
  <c r="C1939" i="1"/>
  <c r="C1937" i="1"/>
  <c r="C1935" i="1"/>
  <c r="C1933" i="1"/>
  <c r="C1931" i="1"/>
  <c r="C1916" i="1"/>
  <c r="C1941" i="1"/>
  <c r="C2720" i="1"/>
  <c r="C2719" i="1"/>
  <c r="C2708" i="1"/>
  <c r="C2718" i="1"/>
  <c r="C2717" i="1"/>
  <c r="C2716" i="1"/>
  <c r="C2715" i="1"/>
  <c r="C2714" i="1"/>
  <c r="C2713" i="1"/>
  <c r="C2712" i="1"/>
  <c r="C2711" i="1"/>
  <c r="C2710" i="1"/>
  <c r="C2709"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30"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789" i="1"/>
  <c r="C2788" i="1"/>
  <c r="C2787" i="1"/>
  <c r="C2786" i="1"/>
  <c r="C2783" i="1"/>
  <c r="C2782" i="1"/>
  <c r="C2781" i="1"/>
  <c r="C2780" i="1"/>
  <c r="C2779" i="1"/>
  <c r="C2778" i="1"/>
  <c r="C2777" i="1"/>
  <c r="C2776" i="1"/>
  <c r="C2775" i="1"/>
  <c r="C2774" i="1"/>
  <c r="C2773" i="1"/>
  <c r="C2772" i="1"/>
  <c r="C2771" i="1"/>
  <c r="C2770" i="1"/>
  <c r="C2769" i="1"/>
  <c r="C2768" i="1"/>
  <c r="C2767" i="1"/>
  <c r="C2766" i="1"/>
  <c r="C2765" i="1"/>
  <c r="C2764" i="1"/>
  <c r="C2763" i="1"/>
  <c r="C2762" i="1"/>
  <c r="C2759" i="1"/>
  <c r="C2758" i="1"/>
  <c r="C2757" i="1"/>
  <c r="C2756" i="1"/>
  <c r="C2785" i="1"/>
  <c r="C2784" i="1"/>
  <c r="C2761" i="1"/>
  <c r="C2760" i="1"/>
  <c r="C2309" i="1" l="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191" i="1"/>
  <c r="C2190" i="1"/>
  <c r="C2189" i="1"/>
  <c r="C2188" i="1"/>
  <c r="C2187" i="1"/>
  <c r="C2186"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56" i="1"/>
  <c r="C2063" i="1"/>
  <c r="C2062" i="1"/>
  <c r="C2061" i="1"/>
  <c r="C2060" i="1"/>
  <c r="C2059" i="1"/>
  <c r="C2058" i="1"/>
  <c r="C2057" i="1"/>
  <c r="C1821" i="1" l="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3" i="1"/>
  <c r="C1692" i="1"/>
  <c r="C1691" i="1"/>
  <c r="C1690" i="1"/>
  <c r="C1689" i="1"/>
  <c r="C1688" i="1"/>
  <c r="C1687" i="1"/>
  <c r="C1686" i="1"/>
  <c r="C1685" i="1"/>
  <c r="C1684" i="1"/>
  <c r="C1683" i="1"/>
  <c r="C1682" i="1"/>
  <c r="C1681" i="1"/>
  <c r="C1680" i="1"/>
  <c r="C1679" i="1"/>
  <c r="C1678" i="1"/>
  <c r="C1677" i="1"/>
  <c r="C1676" i="1"/>
  <c r="D23" i="5" l="1"/>
  <c r="D22" i="5"/>
  <c r="D21" i="5"/>
  <c r="E21" i="5" s="1"/>
  <c r="D17" i="5"/>
  <c r="D16" i="5"/>
  <c r="D15" i="5"/>
  <c r="D11" i="5"/>
  <c r="D10" i="5"/>
  <c r="D9" i="5"/>
  <c r="D4" i="5"/>
  <c r="D5" i="5"/>
  <c r="D3" i="5"/>
  <c r="E10" i="5" l="1"/>
  <c r="E11" i="5"/>
  <c r="E16" i="5"/>
  <c r="E23" i="5"/>
  <c r="E22" i="5"/>
  <c r="E17" i="5"/>
  <c r="E15" i="5"/>
  <c r="E9" i="5"/>
  <c r="E3" i="5"/>
  <c r="E5" i="5"/>
  <c r="E4" i="5"/>
  <c r="C1358" i="1" l="1"/>
  <c r="C1357" i="1"/>
  <c r="C1356" i="1"/>
  <c r="C1355" i="1"/>
  <c r="C1354" i="1"/>
  <c r="C1353" i="1"/>
  <c r="C1352" i="1"/>
  <c r="C1351" i="1"/>
  <c r="C1350" i="1"/>
  <c r="C1349" i="1"/>
  <c r="C1348" i="1"/>
  <c r="C1347" i="1"/>
  <c r="C1346" i="1"/>
  <c r="C1345" i="1"/>
  <c r="C1344" i="1"/>
  <c r="C1343" i="1"/>
  <c r="C1342" i="1"/>
  <c r="C1341" i="1"/>
  <c r="C1340" i="1"/>
  <c r="C1339"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5" i="1"/>
  <c r="C1214" i="1"/>
  <c r="C1213" i="1"/>
  <c r="C1212" i="1"/>
  <c r="C1211" i="1"/>
  <c r="C1210" i="1"/>
  <c r="C1209" i="1"/>
  <c r="C1208" i="1"/>
  <c r="C1207" i="1"/>
  <c r="C1206" i="1"/>
  <c r="C1204" i="1"/>
  <c r="C1203" i="1"/>
  <c r="C1202" i="1"/>
  <c r="C1201" i="1"/>
  <c r="C1200" i="1"/>
  <c r="C1199" i="1"/>
  <c r="C1198" i="1"/>
  <c r="C1197" i="1"/>
  <c r="C1196" i="1"/>
  <c r="C1195" i="1"/>
  <c r="C1193" i="1"/>
  <c r="C1192" i="1"/>
  <c r="C1191" i="1"/>
  <c r="C1190" i="1"/>
  <c r="C1189" i="1"/>
  <c r="C1188" i="1"/>
  <c r="C1187" i="1"/>
  <c r="C1186" i="1"/>
  <c r="C1185" i="1"/>
  <c r="C1184" i="1"/>
  <c r="C1183" i="1"/>
  <c r="C1182" i="1"/>
  <c r="C1181" i="1"/>
  <c r="C1180" i="1"/>
  <c r="C1179" i="1"/>
  <c r="C1178" i="1"/>
  <c r="C1177" i="1"/>
  <c r="C1176" i="1"/>
  <c r="C1175" i="1"/>
  <c r="C1174"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4" i="1"/>
  <c r="C843" i="1"/>
  <c r="C842" i="1"/>
  <c r="C841" i="1"/>
  <c r="C840"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1" i="1"/>
  <c r="C790" i="1"/>
  <c r="C789" i="1"/>
  <c r="C788" i="1"/>
  <c r="C787" i="1"/>
  <c r="C786" i="1"/>
  <c r="C785" i="1"/>
  <c r="C784" i="1"/>
  <c r="C783" i="1"/>
  <c r="C782" i="1"/>
  <c r="C781" i="1"/>
  <c r="C780" i="1"/>
  <c r="C779" i="1"/>
  <c r="C778" i="1"/>
  <c r="C777" i="1"/>
  <c r="C776" i="1"/>
  <c r="C775" i="1"/>
  <c r="C774" i="1"/>
  <c r="C773" i="1"/>
  <c r="C772" i="1"/>
  <c r="C1173" i="1"/>
  <c r="C1172" i="1"/>
  <c r="C839" i="1"/>
  <c r="C838"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A12" i="3"/>
  <c r="A11" i="3"/>
  <c r="A8" i="3"/>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F29" i="2"/>
  <c r="F30" i="2"/>
  <c r="F31" i="2"/>
  <c r="F32" i="2"/>
  <c r="F33" i="2"/>
  <c r="F34" i="2"/>
  <c r="F35" i="2"/>
  <c r="F36" i="2"/>
  <c r="F37" i="2"/>
  <c r="F38" i="2"/>
  <c r="F28" i="2"/>
  <c r="C493" i="1"/>
  <c r="C492" i="1"/>
  <c r="C491" i="1"/>
  <c r="C490" i="1"/>
  <c r="C489" i="1"/>
  <c r="A24" i="2"/>
  <c r="C453" i="1"/>
  <c r="C452" i="1"/>
  <c r="C451" i="1"/>
  <c r="C449" i="1"/>
  <c r="C448" i="1"/>
  <c r="C447" i="1"/>
  <c r="C446" i="1"/>
  <c r="C445" i="1"/>
  <c r="C444"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2" i="1"/>
  <c r="C413" i="1"/>
  <c r="C414" i="1"/>
  <c r="C411" i="1"/>
  <c r="C410" i="1"/>
  <c r="C409" i="1"/>
  <c r="C408" i="1"/>
  <c r="C407" i="1"/>
  <c r="C406" i="1"/>
  <c r="C405" i="1"/>
  <c r="C404" i="1"/>
  <c r="C403" i="1"/>
  <c r="C402" i="1"/>
  <c r="C401" i="1"/>
  <c r="C400" i="1"/>
  <c r="C399" i="1"/>
  <c r="C398" i="1"/>
  <c r="C397" i="1"/>
  <c r="C396" i="1"/>
  <c r="C395" i="1"/>
  <c r="C394" i="1"/>
  <c r="C393" i="1"/>
  <c r="C392" i="1"/>
  <c r="C391" i="1"/>
  <c r="C388" i="1"/>
  <c r="C389" i="1"/>
  <c r="C390" i="1"/>
  <c r="C385" i="1"/>
  <c r="C386" i="1"/>
  <c r="C387" i="1"/>
  <c r="C382" i="1"/>
  <c r="C383" i="1"/>
  <c r="C384" i="1"/>
  <c r="C379" i="1"/>
  <c r="C380" i="1"/>
  <c r="C381" i="1"/>
  <c r="C376" i="1"/>
  <c r="C377" i="1"/>
  <c r="C378" i="1"/>
  <c r="C373" i="1"/>
  <c r="C374" i="1"/>
  <c r="C375" i="1"/>
  <c r="C370" i="1"/>
  <c r="C371" i="1"/>
  <c r="C372" i="1"/>
  <c r="C367" i="1"/>
  <c r="C368" i="1"/>
  <c r="C369" i="1"/>
  <c r="C364" i="1"/>
  <c r="C365" i="1"/>
  <c r="C366" i="1"/>
  <c r="C361" i="1"/>
  <c r="C362" i="1"/>
  <c r="C363" i="1"/>
  <c r="C359" i="1"/>
  <c r="C358" i="1"/>
  <c r="C357" i="1"/>
  <c r="C355" i="1"/>
  <c r="C354" i="1"/>
  <c r="C353" i="1"/>
  <c r="C352" i="1"/>
  <c r="C351" i="1"/>
  <c r="C350" i="1"/>
  <c r="C347" i="1"/>
  <c r="C348" i="1"/>
  <c r="C349" i="1"/>
  <c r="C344" i="1"/>
  <c r="C345" i="1"/>
  <c r="C346" i="1"/>
  <c r="C341" i="1"/>
  <c r="C342" i="1"/>
  <c r="C343" i="1"/>
  <c r="C338" i="1"/>
  <c r="C339" i="1"/>
  <c r="C340" i="1"/>
  <c r="C337" i="1"/>
  <c r="C336" i="1"/>
  <c r="C335" i="1"/>
  <c r="C333" i="1"/>
  <c r="C332" i="1"/>
  <c r="C331" i="1"/>
  <c r="C326" i="1"/>
  <c r="C325" i="1"/>
  <c r="C324" i="1"/>
  <c r="C323" i="1"/>
  <c r="C322" i="1"/>
  <c r="C321" i="1"/>
  <c r="C320" i="1"/>
  <c r="C319" i="1"/>
  <c r="C318" i="1"/>
  <c r="C317" i="1"/>
  <c r="C316" i="1"/>
  <c r="C315" i="1"/>
  <c r="C314" i="1"/>
  <c r="C313" i="1"/>
  <c r="C312" i="1"/>
  <c r="C310" i="1"/>
  <c r="C309" i="1"/>
  <c r="C308" i="1"/>
  <c r="C307" i="1"/>
  <c r="C306" i="1"/>
  <c r="C305" i="1"/>
  <c r="C302" i="1"/>
  <c r="C303" i="1"/>
  <c r="C304" i="1"/>
  <c r="C327" i="1"/>
  <c r="C328" i="1"/>
  <c r="C254" i="1"/>
  <c r="C255" i="1"/>
  <c r="C225" i="1"/>
  <c r="C223" i="1"/>
  <c r="C221" i="1"/>
  <c r="C219" i="1"/>
  <c r="C217" i="1"/>
  <c r="C215" i="1"/>
  <c r="C213" i="1"/>
  <c r="C211" i="1"/>
  <c r="C209" i="1"/>
  <c r="C207" i="1"/>
  <c r="C205" i="1"/>
  <c r="C203" i="1"/>
  <c r="C201" i="1"/>
  <c r="C199" i="1"/>
  <c r="C197" i="1"/>
  <c r="C195" i="1"/>
  <c r="C193" i="1"/>
  <c r="C191" i="1"/>
  <c r="C226" i="1"/>
  <c r="C224" i="1"/>
  <c r="C222" i="1"/>
  <c r="C220" i="1"/>
  <c r="C218" i="1"/>
  <c r="C216" i="1"/>
  <c r="C214" i="1"/>
  <c r="C212" i="1"/>
  <c r="C210" i="1"/>
  <c r="C208" i="1"/>
  <c r="C206" i="1"/>
  <c r="C204" i="1"/>
  <c r="C202" i="1"/>
  <c r="C200" i="1"/>
  <c r="C198" i="1"/>
  <c r="C196" i="1"/>
  <c r="C194" i="1"/>
  <c r="C192" i="1"/>
  <c r="F41" i="2" l="1"/>
</calcChain>
</file>

<file path=xl/sharedStrings.xml><?xml version="1.0" encoding="utf-8"?>
<sst xmlns="http://schemas.openxmlformats.org/spreadsheetml/2006/main" count="20267" uniqueCount="615">
  <si>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</si>
  <si>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</si>
  <si>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</si>
  <si>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</si>
  <si>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</si>
  <si>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</si>
  <si>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</si>
  <si>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</si>
  <si>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</si>
  <si>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</si>
  <si>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</si>
  <si>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</si>
  <si>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</si>
  <si>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</si>
  <si>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</si>
  <si>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</si>
  <si>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</si>
  <si>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</si>
  <si>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</si>
  <si>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</si>
  <si>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</si>
  <si>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</si>
  <si>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</si>
  <si>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</si>
  <si>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</si>
  <si>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</si>
  <si>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</si>
  <si>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</si>
  <si>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</si>
  <si>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</si>
  <si>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</si>
  <si>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</si>
  <si>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</si>
  <si>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</si>
  <si>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</si>
  <si>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</si>
  <si>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</si>
  <si>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</si>
  <si>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</si>
  <si>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</si>
  <si>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</si>
  <si>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</si>
  <si>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</si>
  <si>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</si>
  <si>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</si>
  <si>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</si>
  <si>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</si>
  <si>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</si>
  <si>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</si>
  <si>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</si>
  <si>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</si>
  <si>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</si>
  <si>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</si>
  <si>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</si>
  <si>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</si>
  <si>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</si>
  <si>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</si>
  <si>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</si>
  <si>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</si>
  <si>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</si>
  <si>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</si>
  <si>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</si>
  <si>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</si>
  <si>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</si>
  <si>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</si>
  <si>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</si>
  <si>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</si>
  <si>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</si>
  <si>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</si>
  <si>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</si>
  <si>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</si>
  <si>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</si>
  <si>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</si>
  <si>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</si>
  <si>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</si>
  <si>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</si>
  <si>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</si>
  <si>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</si>
  <si>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</si>
  <si>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</si>
  <si>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</si>
  <si>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</si>
  <si>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</si>
  <si>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</si>
  <si>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</si>
  <si>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</si>
  <si>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</si>
  <si>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</si>
  <si>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</si>
  <si>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</si>
  <si>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</si>
  <si>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</si>
  <si>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</si>
  <si>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</si>
  <si>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</si>
  <si>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</si>
  <si>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</si>
  <si>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</si>
  <si>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</si>
  <si>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</si>
  <si>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</si>
  <si>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</si>
  <si>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</si>
  <si>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</si>
  <si>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</si>
  <si>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</si>
  <si>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</si>
  <si>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</si>
  <si>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</si>
  <si>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</si>
  <si>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</si>
  <si>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</si>
  <si>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</si>
  <si>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</si>
  <si>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</si>
  <si>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</si>
  <si>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</si>
  <si>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</si>
  <si>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</si>
  <si>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</si>
  <si>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</si>
  <si>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</si>
  <si>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</si>
  <si>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</si>
  <si>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</si>
  <si>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</si>
  <si>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</si>
  <si>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</si>
  <si>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</si>
  <si>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</si>
  <si>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</si>
  <si>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</si>
  <si>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</si>
  <si>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</si>
  <si>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</si>
  <si>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</si>
  <si>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</si>
  <si>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</si>
  <si>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</si>
  <si>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</si>
  <si>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</si>
  <si>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</si>
  <si>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</si>
  <si>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</si>
  <si>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</si>
  <si>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</si>
  <si>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</si>
  <si>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</si>
  <si>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</si>
  <si>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</si>
  <si>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</si>
  <si>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</si>
  <si>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</si>
  <si>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</si>
  <si>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</si>
  <si>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</si>
  <si>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</si>
  <si>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</si>
  <si>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</si>
  <si>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</si>
  <si>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</si>
  <si>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</si>
  <si>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</si>
  <si>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</si>
  <si>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</si>
  <si>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</si>
  <si>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</si>
  <si>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</si>
  <si>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</si>
  <si>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</si>
  <si>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</si>
  <si>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</si>
  <si>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</si>
  <si>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</si>
  <si>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</si>
  <si>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</si>
  <si>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</si>
  <si>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</si>
  <si>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</si>
  <si>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</si>
  <si>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</si>
  <si>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</si>
  <si>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</si>
  <si>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</si>
  <si>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</si>
  <si>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</si>
  <si>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</si>
  <si>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</si>
  <si>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</si>
  <si>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</si>
  <si>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</si>
  <si>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</si>
  <si>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</si>
  <si>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</si>
  <si>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</si>
  <si>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</si>
  <si>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</si>
  <si>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</si>
  <si>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</si>
  <si>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</si>
  <si>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</si>
  <si>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</si>
  <si>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</si>
  <si>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</si>
  <si>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</si>
  <si>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</si>
  <si>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</si>
  <si>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</si>
  <si>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</si>
  <si>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</si>
  <si>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</si>
  <si>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</si>
  <si>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</si>
  <si>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</si>
  <si>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</si>
  <si>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</si>
  <si>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</si>
  <si>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</si>
  <si>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</si>
  <si>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</si>
  <si>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</si>
  <si>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</si>
  <si>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</si>
  <si>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</si>
  <si>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</si>
  <si>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</si>
  <si>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</si>
  <si>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</si>
  <si>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</si>
  <si>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</si>
  <si>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</si>
  <si>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</si>
  <si>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</si>
  <si>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</si>
  <si>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</si>
  <si>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</si>
  <si>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</si>
  <si>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</si>
  <si>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</si>
  <si>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</si>
  <si>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</si>
  <si>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</si>
  <si>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</si>
  <si>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</si>
  <si>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</si>
  <si>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</si>
  <si>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</si>
  <si>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</si>
  <si>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</si>
  <si>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</si>
  <si>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</si>
  <si>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</si>
  <si>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</si>
  <si>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</si>
  <si>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</si>
  <si>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</si>
  <si>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</si>
  <si>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</si>
  <si>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</si>
  <si>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</si>
  <si>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</si>
  <si>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</si>
  <si>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Exclude?</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</si>
  <si>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</si>
  <si>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</si>
  <si>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</si>
  <si>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</si>
  <si>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</si>
  <si>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</si>
  <si>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</si>
  <si>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</si>
  <si>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</si>
  <si>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</si>
  <si>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</si>
  <si>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</si>
  <si>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</si>
  <si>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</si>
  <si>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</si>
  <si>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</si>
  <si>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</si>
  <si>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</si>
  <si>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</si>
  <si>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</si>
  <si>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</si>
  <si>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</si>
  <si>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</si>
  <si>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</si>
  <si>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</si>
  <si>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</si>
  <si>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</si>
  <si>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</si>
  <si>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</si>
  <si>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</si>
  <si>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</si>
  <si>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</si>
  <si>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</si>
  <si>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</si>
  <si>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</si>
  <si>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</si>
  <si>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</si>
  <si>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</si>
  <si>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</si>
  <si>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</si>
  <si>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</si>
  <si>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</si>
  <si>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</si>
  <si>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</si>
  <si>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</si>
  <si>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</si>
  <si>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</si>
  <si>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</si>
  <si>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</si>
  <si>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</si>
  <si>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</si>
  <si>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</si>
  <si>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</si>
  <si>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</si>
  <si>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</si>
  <si>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</si>
  <si>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r>
      <t xml:space="preserve">market: </t>
    </r>
    <r>
      <rPr>
        <b/>
        <sz val="11"/>
        <color theme="1"/>
        <rFont val="Calibri"/>
        <family val="2"/>
        <scheme val="minor"/>
      </rPr>
      <t>market for copper concentrate, sulfide ore(GLO)</t>
    </r>
  </si>
  <si>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</si>
  <si>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</si>
  <si>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</si>
  <si>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</si>
  <si>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</si>
  <si>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</si>
  <si>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</si>
  <si>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</si>
  <si>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</si>
  <si>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</si>
  <si>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</si>
  <si>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</si>
  <si>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</si>
  <si>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</si>
  <si>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</si>
  <si>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</si>
  <si>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</si>
  <si>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</si>
  <si>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</si>
  <si>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</si>
  <si>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We do not consider secondary sources yet. We keep the technological shares from Ecoinvent // Double check copper coming from tailings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</si>
  <si>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</si>
  <si>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</si>
  <si>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</si>
  <si>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</si>
  <si>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</si>
  <si>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</si>
  <si>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</si>
  <si>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</si>
  <si>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</si>
  <si>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</si>
  <si>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</si>
  <si>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</si>
  <si>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</si>
  <si>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Check with Romain</t>
  </si>
  <si>
    <t>Market: market for graphite, battery grade (CN) // We assume that from mining to refining occurs in the same region</t>
  </si>
  <si>
    <t>We keep the technological shares from EI // BGS share * EI share (copper mine/molybdenite mine)</t>
  </si>
  <si>
    <t>molybdenite</t>
  </si>
  <si>
    <t>IL</t>
  </si>
  <si>
    <t>Molybdenum, refining</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</si>
  <si>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</si>
  <si>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</si>
  <si>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</si>
  <si>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</si>
  <si>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</si>
  <si>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</si>
  <si>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</si>
  <si>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</si>
  <si>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</si>
  <si>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</si>
  <si>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</si>
  <si>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</si>
  <si>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</si>
  <si>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</si>
  <si>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</si>
  <si>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</si>
  <si>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</si>
  <si>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</si>
  <si>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Magnesium metal</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</si>
  <si>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</si>
  <si>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</si>
  <si>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</si>
  <si>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</si>
  <si>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</si>
  <si>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</si>
  <si>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</si>
  <si>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</si>
  <si>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</si>
  <si>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</si>
  <si>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</si>
  <si>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The idea would be to regionalize the mining but keep the existing market for refining?</t>
  </si>
  <si>
    <t>Ask Romain</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</si>
  <si>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</si>
  <si>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</si>
  <si>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</si>
  <si>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</si>
  <si>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</si>
  <si>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</si>
  <si>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</si>
  <si>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</si>
  <si>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</si>
  <si>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</si>
  <si>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</si>
  <si>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</si>
  <si>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</si>
  <si>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</si>
  <si>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</si>
  <si>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</si>
  <si>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</si>
  <si>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</si>
  <si>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</si>
  <si>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</si>
  <si>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</si>
  <si>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</si>
  <si>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</si>
  <si>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</si>
  <si>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</si>
  <si>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</si>
  <si>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</si>
  <si>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</si>
  <si>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</si>
  <si>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</si>
  <si>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</si>
  <si>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</si>
  <si>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</si>
  <si>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</si>
  <si>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</si>
  <si>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</si>
  <si>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</si>
  <si>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</si>
  <si>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</si>
  <si>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</si>
  <si>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</si>
  <si>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</si>
  <si>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</si>
  <si>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</si>
  <si>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</si>
  <si>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</si>
  <si>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</si>
  <si>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</si>
  <si>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</si>
  <si>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</si>
  <si>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</si>
  <si>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</si>
  <si>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</si>
  <si>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</si>
  <si>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</si>
  <si>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Niobium</t>
  </si>
  <si>
    <t>Tantalum</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</si>
  <si>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</si>
  <si>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</si>
  <si>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</si>
  <si>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</si>
  <si>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</si>
  <si>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</si>
  <si>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</si>
  <si>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</si>
  <si>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</si>
  <si>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</si>
  <si>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</si>
  <si>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</si>
  <si>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</si>
  <si>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</si>
  <si>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</si>
  <si>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</si>
  <si>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</si>
  <si>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</si>
  <si>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</si>
  <si>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</si>
  <si>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</si>
  <si>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</si>
  <si>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</si>
  <si>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</si>
  <si>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</si>
  <si>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</si>
  <si>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</si>
  <si>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</si>
  <si>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</si>
  <si>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</si>
  <si>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</si>
  <si>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</si>
  <si>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</si>
  <si>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</si>
  <si>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</si>
  <si>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</si>
  <si>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</si>
  <si>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</si>
  <si>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</si>
  <si>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</si>
  <si>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</si>
  <si>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</si>
  <si>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</si>
  <si>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</si>
  <si>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</si>
  <si>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</si>
  <si>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</si>
  <si>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</si>
  <si>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</si>
  <si>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</si>
  <si>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</si>
  <si>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</si>
  <si>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</si>
  <si>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</si>
  <si>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</si>
  <si>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</si>
  <si>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</si>
  <si>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</si>
  <si>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</si>
  <si>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</si>
  <si>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</si>
  <si>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</si>
  <si>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</si>
  <si>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</si>
  <si>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</si>
  <si>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</si>
  <si>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</si>
  <si>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</si>
  <si>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</si>
  <si>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</si>
  <si>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</si>
  <si>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</si>
  <si>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</si>
  <si>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</si>
  <si>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</si>
  <si>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</si>
  <si>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</si>
  <si>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</si>
  <si>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</si>
  <si>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</si>
  <si>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</si>
  <si>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</si>
  <si>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</si>
  <si>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</si>
  <si>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</si>
  <si>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</si>
  <si>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</si>
  <si>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</si>
  <si>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</si>
  <si>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</si>
  <si>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</si>
  <si>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</si>
  <si>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</si>
  <si>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</si>
  <si>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</si>
  <si>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</si>
  <si>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</si>
  <si>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</si>
  <si>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</si>
  <si>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</si>
  <si>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</si>
  <si>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</si>
  <si>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</si>
  <si>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</si>
  <si>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</si>
  <si>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</si>
  <si>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</si>
  <si>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</si>
  <si>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</si>
  <si>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</si>
  <si>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</si>
  <si>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</si>
  <si>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</si>
  <si>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</si>
  <si>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</si>
  <si>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</si>
  <si>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</si>
  <si>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</si>
  <si>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</si>
  <si>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</si>
  <si>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</si>
  <si>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</si>
  <si>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</si>
  <si>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</si>
  <si>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</si>
  <si>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</si>
  <si>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</si>
  <si>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</si>
  <si>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</si>
  <si>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</si>
  <si>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</si>
  <si>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</si>
  <si>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</si>
  <si>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</si>
  <si>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</si>
  <si>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</si>
  <si>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</si>
  <si>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</si>
  <si>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</si>
  <si>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</si>
  <si>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</si>
  <si>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</si>
  <si>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</si>
  <si>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</si>
  <si>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</si>
  <si>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</si>
  <si>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</si>
  <si>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</si>
  <si>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</si>
  <si>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</si>
  <si>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</si>
  <si>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</si>
  <si>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</si>
  <si>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</si>
  <si>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</si>
  <si>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</si>
  <si>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</si>
  <si>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</si>
  <si>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</si>
  <si>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</si>
  <si>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Indium</t>
  </si>
  <si>
    <t>Indium, from zinc</t>
  </si>
  <si>
    <t>lithium carbonate precipitation 1, from Salar de Olaroz</t>
  </si>
  <si>
    <t>Rutile</t>
  </si>
  <si>
    <t>Palladium</t>
  </si>
  <si>
    <t>Platinum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</si>
</sst>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20">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cellXfs>
  <cellStyles count="5">
    <cellStyle name="Bad" xfId="3" builtinId="27"/>
    <cellStyle name="Good" xfId="2" builtinId="26"/>
    <cellStyle name="Neutral" xfId="4" builtinId="28"/>
    <cellStyle name="Normal" xfId="0" builtinId="0"/>
    <cellStyle name="Per cent" xfId="1" builtinId="5"/>
  </cellStyles>
  <dxfs count="7">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883" totalsRowShown="0" headerRowDxfId="6" headerRowBorderDxfId="5" tableBorderDxfId="4">
  <autoFilter ref="A1:H2883" xr:uid="{00000000-0009-0000-0100-000001000000}">
    <filterColumn colId="0">
      <filters>
        <filter val="Platinum"/>
      </filters>
    </filterColumn>
  </autoFilter>
  <tableColumns count="8">
    <tableColumn id="1" xr3:uid="{00000000-0010-0000-0000-000001000000}" name="Metal"/>
    <tableColumn id="2" xr3:uid="{00000000-0010-0000-0000-000002000000}" name="Country"/>
    <tableColumn id="14" xr3:uid="{00000000-0010-0000-0000-00000E000000}" name="Share_2017_2021" dataDxfId="3"/>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Gold, mine"/>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83"/>
  <sheetViews>
    <sheetView tabSelected="1" zoomScale="85" zoomScaleNormal="85" workbookViewId="0">
      <selection activeCell="A2241" sqref="A2241"/>
    </sheetView>
  </sheetViews>
  <sheetFormatPr baseColWidth="10" defaultColWidth="8.83203125" defaultRowHeight="15" x14ac:dyDescent="0.2"/>
  <cols>
    <col min="1" max="1" width="47.5" bestFit="1" customWidth="1"/>
    <col min="2" max="2" width="26.33203125" bestFit="1" customWidth="1"/>
    <col min="3" max="3" width="20.6640625" style="4" bestFit="1" customWidth="1"/>
    <col min="4" max="4" width="36.33203125" bestFit="1" customWidth="1"/>
    <col min="5" max="5" width="84" bestFit="1" customWidth="1"/>
    <col min="6" max="6" width="47.5" bestFit="1" customWidth="1"/>
    <col min="7" max="7" width="18.1640625" bestFit="1" customWidth="1"/>
    <col min="8" max="8" width="255.6640625" bestFit="1" customWidth="1"/>
    <col min="11" max="11" width="11.5" bestFit="1" customWidth="1"/>
  </cols>
  <sheetData>
    <row r="1" spans="1:8" x14ac:dyDescent="0.2">
      <c r="A1" s="1" t="s">
        <v>0</v>
      </c>
      <c r="B1" s="1" t="s">
        <v>1</v>
      </c>
      <c r="C1" s="3" t="s">
        <v>13</v>
      </c>
      <c r="D1" s="1" t="s">
        <v>237</v>
      </c>
      <c r="E1" s="1" t="s">
        <v>238</v>
      </c>
      <c r="F1" s="1" t="s">
        <v>239</v>
      </c>
      <c r="G1" s="1" t="s">
        <v>240</v>
      </c>
      <c r="H1" s="1" t="s">
        <v>241</v>
      </c>
    </row>
    <row r="2" spans="1:8" hidden="1" x14ac:dyDescent="0.2">
      <c r="A2" t="s">
        <v>14</v>
      </c>
      <c r="B2" t="s">
        <v>83</v>
      </c>
      <c r="C2" s="4">
        <v>0.2983294008080461</v>
      </c>
      <c r="D2" t="s">
        <v>242</v>
      </c>
      <c r="E2" t="s">
        <v>243</v>
      </c>
      <c r="F2" t="s">
        <v>244</v>
      </c>
      <c r="G2" t="s">
        <v>245</v>
      </c>
      <c r="H2" t="s">
        <v>261</v>
      </c>
    </row>
    <row r="3" spans="1:8" hidden="1" x14ac:dyDescent="0.2">
      <c r="A3" t="s">
        <v>14</v>
      </c>
      <c r="B3" t="s">
        <v>84</v>
      </c>
      <c r="C3" s="4">
        <v>2.292013115323338E-3</v>
      </c>
      <c r="D3" t="s">
        <v>242</v>
      </c>
      <c r="E3" t="s">
        <v>243</v>
      </c>
      <c r="F3" t="s">
        <v>244</v>
      </c>
      <c r="G3" t="s">
        <v>245</v>
      </c>
    </row>
    <row r="4" spans="1:8" hidden="1" x14ac:dyDescent="0.2">
      <c r="A4" t="s">
        <v>14</v>
      </c>
      <c r="B4" t="s">
        <v>85</v>
      </c>
      <c r="C4" s="4">
        <v>0.10204218768111641</v>
      </c>
      <c r="D4" t="s">
        <v>242</v>
      </c>
      <c r="E4" t="s">
        <v>243</v>
      </c>
      <c r="F4" t="s">
        <v>244</v>
      </c>
      <c r="G4" t="s">
        <v>245</v>
      </c>
    </row>
    <row r="5" spans="1:8" hidden="1" x14ac:dyDescent="0.2">
      <c r="A5" t="s">
        <v>14</v>
      </c>
      <c r="B5" t="s">
        <v>86</v>
      </c>
      <c r="C5" s="4">
        <v>0.1574689063030289</v>
      </c>
      <c r="D5" t="s">
        <v>242</v>
      </c>
      <c r="E5" t="s">
        <v>243</v>
      </c>
      <c r="F5" t="s">
        <v>244</v>
      </c>
      <c r="G5" t="s">
        <v>245</v>
      </c>
    </row>
    <row r="6" spans="1:8" hidden="1" x14ac:dyDescent="0.2">
      <c r="A6" t="s">
        <v>14</v>
      </c>
      <c r="B6" t="s">
        <v>87</v>
      </c>
      <c r="C6" s="4">
        <v>2.7996797858408852E-5</v>
      </c>
      <c r="D6" t="s">
        <v>242</v>
      </c>
      <c r="E6" t="s">
        <v>243</v>
      </c>
      <c r="F6" t="s">
        <v>244</v>
      </c>
      <c r="G6" t="s">
        <v>245</v>
      </c>
    </row>
    <row r="7" spans="1:8" hidden="1" x14ac:dyDescent="0.2">
      <c r="A7" t="s">
        <v>14</v>
      </c>
      <c r="B7" t="s">
        <v>88</v>
      </c>
      <c r="C7" s="4">
        <v>3.9921990113625161E-5</v>
      </c>
      <c r="D7" t="s">
        <v>242</v>
      </c>
      <c r="E7" t="s">
        <v>243</v>
      </c>
      <c r="F7" t="s">
        <v>244</v>
      </c>
      <c r="G7" t="s">
        <v>245</v>
      </c>
    </row>
    <row r="8" spans="1:8" hidden="1" x14ac:dyDescent="0.2">
      <c r="A8" t="s">
        <v>14</v>
      </c>
      <c r="B8" t="s">
        <v>89</v>
      </c>
      <c r="C8" s="4">
        <v>6.7469220045320385E-5</v>
      </c>
      <c r="D8" t="s">
        <v>242</v>
      </c>
      <c r="E8" t="s">
        <v>243</v>
      </c>
      <c r="F8" t="s">
        <v>244</v>
      </c>
      <c r="G8" t="s">
        <v>245</v>
      </c>
    </row>
    <row r="9" spans="1:8" hidden="1" x14ac:dyDescent="0.2">
      <c r="A9" t="s">
        <v>14</v>
      </c>
      <c r="B9" t="s">
        <v>90</v>
      </c>
      <c r="C9" s="4">
        <v>7.0450219591244837E-5</v>
      </c>
      <c r="D9" t="s">
        <v>242</v>
      </c>
      <c r="E9" t="s">
        <v>243</v>
      </c>
      <c r="F9" t="s">
        <v>244</v>
      </c>
      <c r="G9" t="s">
        <v>245</v>
      </c>
    </row>
    <row r="10" spans="1:8" hidden="1" x14ac:dyDescent="0.2">
      <c r="A10" t="s">
        <v>14</v>
      </c>
      <c r="B10" t="s">
        <v>91</v>
      </c>
      <c r="C10" s="4">
        <v>3.9225249382582929E-4</v>
      </c>
      <c r="D10" t="s">
        <v>242</v>
      </c>
      <c r="E10" t="s">
        <v>243</v>
      </c>
      <c r="F10" t="s">
        <v>244</v>
      </c>
      <c r="G10" t="s">
        <v>245</v>
      </c>
    </row>
    <row r="11" spans="1:8" hidden="1" x14ac:dyDescent="0.2">
      <c r="A11" t="s">
        <v>14</v>
      </c>
      <c r="B11" t="s">
        <v>92</v>
      </c>
      <c r="C11" s="4">
        <v>3.347073812814543E-3</v>
      </c>
      <c r="D11" t="s">
        <v>242</v>
      </c>
      <c r="E11" t="s">
        <v>243</v>
      </c>
      <c r="F11" t="s">
        <v>244</v>
      </c>
      <c r="G11" t="s">
        <v>245</v>
      </c>
    </row>
    <row r="12" spans="1:8" hidden="1" x14ac:dyDescent="0.2">
      <c r="A12" t="s">
        <v>14</v>
      </c>
      <c r="B12" t="s">
        <v>93</v>
      </c>
      <c r="C12" s="4">
        <v>4.5861289905907467E-3</v>
      </c>
      <c r="D12" t="s">
        <v>242</v>
      </c>
      <c r="E12" t="s">
        <v>243</v>
      </c>
      <c r="F12" t="s">
        <v>244</v>
      </c>
      <c r="G12" t="s">
        <v>245</v>
      </c>
    </row>
    <row r="13" spans="1:8" hidden="1" x14ac:dyDescent="0.2">
      <c r="A13" t="s">
        <v>14</v>
      </c>
      <c r="B13" t="s">
        <v>94</v>
      </c>
      <c r="C13" s="4">
        <v>0.21293480539664211</v>
      </c>
      <c r="D13" t="s">
        <v>242</v>
      </c>
      <c r="E13" t="s">
        <v>243</v>
      </c>
      <c r="F13" t="s">
        <v>244</v>
      </c>
      <c r="G13" t="s">
        <v>245</v>
      </c>
    </row>
    <row r="14" spans="1:8" hidden="1" x14ac:dyDescent="0.2">
      <c r="A14" t="s">
        <v>14</v>
      </c>
      <c r="B14" t="s">
        <v>95</v>
      </c>
      <c r="C14" s="4">
        <v>3.892385379059944E-3</v>
      </c>
      <c r="D14" t="s">
        <v>242</v>
      </c>
      <c r="E14" t="s">
        <v>243</v>
      </c>
      <c r="F14" t="s">
        <v>244</v>
      </c>
      <c r="G14" t="s">
        <v>245</v>
      </c>
    </row>
    <row r="15" spans="1:8" hidden="1" x14ac:dyDescent="0.2">
      <c r="A15" t="s">
        <v>14</v>
      </c>
      <c r="B15" t="s">
        <v>96</v>
      </c>
      <c r="C15" s="4">
        <v>3.283696675863107E-6</v>
      </c>
      <c r="D15" t="s">
        <v>242</v>
      </c>
      <c r="E15" t="s">
        <v>243</v>
      </c>
      <c r="F15" t="s">
        <v>244</v>
      </c>
      <c r="G15" t="s">
        <v>245</v>
      </c>
    </row>
    <row r="16" spans="1:8" hidden="1" x14ac:dyDescent="0.2">
      <c r="A16" t="s">
        <v>14</v>
      </c>
      <c r="B16" t="s">
        <v>97</v>
      </c>
      <c r="C16" s="4">
        <v>6.4448353436572153E-2</v>
      </c>
      <c r="D16" t="s">
        <v>242</v>
      </c>
      <c r="E16" t="s">
        <v>243</v>
      </c>
      <c r="F16" t="s">
        <v>244</v>
      </c>
      <c r="G16" t="s">
        <v>245</v>
      </c>
    </row>
    <row r="17" spans="1:7" hidden="1" x14ac:dyDescent="0.2">
      <c r="A17" t="s">
        <v>14</v>
      </c>
      <c r="B17" t="s">
        <v>98</v>
      </c>
      <c r="C17" s="4">
        <v>4.8596221760693677E-2</v>
      </c>
      <c r="D17" t="s">
        <v>242</v>
      </c>
      <c r="E17" t="s">
        <v>243</v>
      </c>
      <c r="F17" t="s">
        <v>244</v>
      </c>
      <c r="G17" t="s">
        <v>245</v>
      </c>
    </row>
    <row r="18" spans="1:7" hidden="1" x14ac:dyDescent="0.2">
      <c r="A18" t="s">
        <v>14</v>
      </c>
      <c r="B18" t="s">
        <v>99</v>
      </c>
      <c r="C18" s="4">
        <v>3.1284864836029652E-3</v>
      </c>
      <c r="D18" t="s">
        <v>242</v>
      </c>
      <c r="E18" t="s">
        <v>243</v>
      </c>
      <c r="F18" t="s">
        <v>244</v>
      </c>
      <c r="G18" t="s">
        <v>245</v>
      </c>
    </row>
    <row r="19" spans="1:7" hidden="1" x14ac:dyDescent="0.2">
      <c r="A19" t="s">
        <v>14</v>
      </c>
      <c r="B19" t="s">
        <v>100</v>
      </c>
      <c r="C19" s="4">
        <v>3.4168057983874123E-4</v>
      </c>
      <c r="D19" t="s">
        <v>242</v>
      </c>
      <c r="E19" t="s">
        <v>243</v>
      </c>
      <c r="F19" t="s">
        <v>244</v>
      </c>
      <c r="G19" t="s">
        <v>245</v>
      </c>
    </row>
    <row r="20" spans="1:7" hidden="1" x14ac:dyDescent="0.2">
      <c r="A20" t="s">
        <v>14</v>
      </c>
      <c r="B20" t="s">
        <v>101</v>
      </c>
      <c r="C20" s="4">
        <v>2.4406073155209509E-2</v>
      </c>
      <c r="D20" t="s">
        <v>242</v>
      </c>
      <c r="E20" t="s">
        <v>243</v>
      </c>
      <c r="F20" t="s">
        <v>244</v>
      </c>
      <c r="G20" t="s">
        <v>245</v>
      </c>
    </row>
    <row r="21" spans="1:7" hidden="1" x14ac:dyDescent="0.2">
      <c r="A21" t="s">
        <v>14</v>
      </c>
      <c r="B21" t="s">
        <v>102</v>
      </c>
      <c r="C21" s="4">
        <v>1.3808720668491391E-2</v>
      </c>
      <c r="D21" t="s">
        <v>242</v>
      </c>
      <c r="E21" t="s">
        <v>243</v>
      </c>
      <c r="F21" t="s">
        <v>244</v>
      </c>
      <c r="G21" t="s">
        <v>245</v>
      </c>
    </row>
    <row r="22" spans="1:7" hidden="1" x14ac:dyDescent="0.2">
      <c r="A22" t="s">
        <v>14</v>
      </c>
      <c r="B22" t="s">
        <v>103</v>
      </c>
      <c r="C22" s="4">
        <v>1.3592516108994969E-3</v>
      </c>
      <c r="D22" t="s">
        <v>242</v>
      </c>
      <c r="E22" t="s">
        <v>243</v>
      </c>
      <c r="F22" t="s">
        <v>244</v>
      </c>
      <c r="G22" t="s">
        <v>245</v>
      </c>
    </row>
    <row r="23" spans="1:7" hidden="1" x14ac:dyDescent="0.2">
      <c r="A23" t="s">
        <v>14</v>
      </c>
      <c r="B23" t="s">
        <v>104</v>
      </c>
      <c r="C23" s="4">
        <v>2.1552047592347332E-3</v>
      </c>
      <c r="D23" t="s">
        <v>242</v>
      </c>
      <c r="E23" t="s">
        <v>243</v>
      </c>
      <c r="F23" t="s">
        <v>244</v>
      </c>
      <c r="G23" t="s">
        <v>245</v>
      </c>
    </row>
    <row r="24" spans="1:7" hidden="1" x14ac:dyDescent="0.2">
      <c r="A24" t="s">
        <v>14</v>
      </c>
      <c r="B24" t="s">
        <v>105</v>
      </c>
      <c r="C24" s="4">
        <v>2.117148505868757E-5</v>
      </c>
      <c r="D24" t="s">
        <v>242</v>
      </c>
      <c r="E24" t="s">
        <v>243</v>
      </c>
      <c r="F24" t="s">
        <v>244</v>
      </c>
      <c r="G24" t="s">
        <v>245</v>
      </c>
    </row>
    <row r="25" spans="1:7" hidden="1" x14ac:dyDescent="0.2">
      <c r="A25" t="s">
        <v>14</v>
      </c>
      <c r="B25" t="s">
        <v>106</v>
      </c>
      <c r="C25" s="4">
        <v>3.0570738423678129E-4</v>
      </c>
      <c r="D25" t="s">
        <v>242</v>
      </c>
      <c r="E25" t="s">
        <v>243</v>
      </c>
      <c r="F25" t="s">
        <v>244</v>
      </c>
      <c r="G25" t="s">
        <v>245</v>
      </c>
    </row>
    <row r="26" spans="1:7" hidden="1" x14ac:dyDescent="0.2">
      <c r="A26" t="s">
        <v>14</v>
      </c>
      <c r="B26" t="s">
        <v>107</v>
      </c>
      <c r="C26" s="4">
        <v>1.6715210151661709E-2</v>
      </c>
      <c r="D26" t="s">
        <v>242</v>
      </c>
      <c r="E26" t="s">
        <v>243</v>
      </c>
      <c r="F26" t="s">
        <v>244</v>
      </c>
      <c r="G26" t="s">
        <v>245</v>
      </c>
    </row>
    <row r="27" spans="1:7" hidden="1" x14ac:dyDescent="0.2">
      <c r="A27" t="s">
        <v>14</v>
      </c>
      <c r="B27" t="s">
        <v>108</v>
      </c>
      <c r="C27" s="4">
        <v>1.474062781474374E-2</v>
      </c>
      <c r="D27" t="s">
        <v>242</v>
      </c>
      <c r="E27" t="s">
        <v>243</v>
      </c>
      <c r="F27" t="s">
        <v>244</v>
      </c>
      <c r="G27" t="s">
        <v>245</v>
      </c>
    </row>
    <row r="28" spans="1:7" hidden="1" x14ac:dyDescent="0.2">
      <c r="A28" t="s">
        <v>14</v>
      </c>
      <c r="B28" t="s">
        <v>109</v>
      </c>
      <c r="C28" s="4">
        <v>5.2049404350856306E-3</v>
      </c>
      <c r="D28" t="s">
        <v>242</v>
      </c>
      <c r="E28" t="s">
        <v>243</v>
      </c>
      <c r="F28" t="s">
        <v>244</v>
      </c>
      <c r="G28" t="s">
        <v>245</v>
      </c>
    </row>
    <row r="29" spans="1:7" hidden="1" x14ac:dyDescent="0.2">
      <c r="A29" t="s">
        <v>14</v>
      </c>
      <c r="B29" t="s">
        <v>110</v>
      </c>
      <c r="C29" s="4">
        <v>3.0872719110705679E-3</v>
      </c>
      <c r="D29" t="s">
        <v>242</v>
      </c>
      <c r="E29" t="s">
        <v>243</v>
      </c>
      <c r="F29" t="s">
        <v>244</v>
      </c>
      <c r="G29" t="s">
        <v>245</v>
      </c>
    </row>
    <row r="30" spans="1:7" hidden="1" x14ac:dyDescent="0.2">
      <c r="A30" t="s">
        <v>14</v>
      </c>
      <c r="B30" t="s">
        <v>111</v>
      </c>
      <c r="C30" s="4">
        <v>1.134367942570891E-8</v>
      </c>
      <c r="D30" t="s">
        <v>242</v>
      </c>
      <c r="E30" t="s">
        <v>243</v>
      </c>
      <c r="F30" t="s">
        <v>244</v>
      </c>
      <c r="G30" t="s">
        <v>245</v>
      </c>
    </row>
    <row r="31" spans="1:7" hidden="1" x14ac:dyDescent="0.2">
      <c r="A31" t="s">
        <v>14</v>
      </c>
      <c r="B31" t="s">
        <v>112</v>
      </c>
      <c r="C31" s="4">
        <v>5.8612881148001851E-3</v>
      </c>
      <c r="D31" t="s">
        <v>242</v>
      </c>
      <c r="E31" t="s">
        <v>243</v>
      </c>
      <c r="F31" t="s">
        <v>244</v>
      </c>
      <c r="G31" t="s">
        <v>245</v>
      </c>
    </row>
    <row r="32" spans="1:7" hidden="1" x14ac:dyDescent="0.2">
      <c r="A32" t="s">
        <v>14</v>
      </c>
      <c r="B32" t="s">
        <v>113</v>
      </c>
      <c r="C32" s="4">
        <v>5.5113326193382693E-4</v>
      </c>
      <c r="D32" t="s">
        <v>242</v>
      </c>
      <c r="E32" t="s">
        <v>243</v>
      </c>
      <c r="F32" t="s">
        <v>244</v>
      </c>
      <c r="G32" t="s">
        <v>245</v>
      </c>
    </row>
    <row r="33" spans="1:8" hidden="1" x14ac:dyDescent="0.2">
      <c r="A33" t="s">
        <v>14</v>
      </c>
      <c r="B33" t="s">
        <v>114</v>
      </c>
      <c r="C33" s="4">
        <v>2.2794705880930591E-4</v>
      </c>
      <c r="D33" t="s">
        <v>242</v>
      </c>
      <c r="E33" t="s">
        <v>243</v>
      </c>
      <c r="F33" t="s">
        <v>244</v>
      </c>
      <c r="G33" t="s">
        <v>245</v>
      </c>
    </row>
    <row r="34" spans="1:8" hidden="1" x14ac:dyDescent="0.2">
      <c r="A34" t="s">
        <v>14</v>
      </c>
      <c r="B34" t="s">
        <v>115</v>
      </c>
      <c r="C34" s="4">
        <v>9.5464226796451498E-3</v>
      </c>
      <c r="D34" t="s">
        <v>242</v>
      </c>
      <c r="E34" t="s">
        <v>243</v>
      </c>
      <c r="F34" t="s">
        <v>244</v>
      </c>
      <c r="G34" t="s">
        <v>245</v>
      </c>
    </row>
    <row r="35" spans="1:8" hidden="1" x14ac:dyDescent="0.2">
      <c r="A35" t="s">
        <v>250</v>
      </c>
      <c r="B35" t="s">
        <v>83</v>
      </c>
      <c r="D35" t="s">
        <v>248</v>
      </c>
      <c r="E35" t="s">
        <v>249</v>
      </c>
      <c r="F35" t="s">
        <v>250</v>
      </c>
      <c r="G35" t="s">
        <v>262</v>
      </c>
      <c r="H35" t="s">
        <v>260</v>
      </c>
    </row>
    <row r="36" spans="1:8" hidden="1" x14ac:dyDescent="0.2">
      <c r="A36" t="s">
        <v>15</v>
      </c>
      <c r="B36" t="s">
        <v>83</v>
      </c>
      <c r="C36" s="4">
        <v>0.15362225113108349</v>
      </c>
      <c r="D36" t="s">
        <v>248</v>
      </c>
      <c r="E36" t="s">
        <v>247</v>
      </c>
      <c r="F36" t="s">
        <v>246</v>
      </c>
      <c r="G36" t="s">
        <v>262</v>
      </c>
    </row>
    <row r="37" spans="1:8" hidden="1" x14ac:dyDescent="0.2">
      <c r="A37" t="s">
        <v>250</v>
      </c>
      <c r="B37" t="s">
        <v>84</v>
      </c>
      <c r="D37" t="s">
        <v>251</v>
      </c>
      <c r="E37" t="s">
        <v>249</v>
      </c>
      <c r="F37" t="s">
        <v>250</v>
      </c>
      <c r="G37" t="s">
        <v>262</v>
      </c>
    </row>
    <row r="38" spans="1:8" hidden="1" x14ac:dyDescent="0.2">
      <c r="A38" t="s">
        <v>15</v>
      </c>
      <c r="B38" t="s">
        <v>84</v>
      </c>
      <c r="C38" s="4">
        <v>1.529314362442395E-3</v>
      </c>
      <c r="D38" t="s">
        <v>251</v>
      </c>
      <c r="E38" t="s">
        <v>247</v>
      </c>
      <c r="F38" t="s">
        <v>246</v>
      </c>
      <c r="G38" t="s">
        <v>262</v>
      </c>
    </row>
    <row r="39" spans="1:8" hidden="1" x14ac:dyDescent="0.2">
      <c r="A39" t="s">
        <v>250</v>
      </c>
      <c r="B39" t="s">
        <v>85</v>
      </c>
      <c r="D39" t="s">
        <v>252</v>
      </c>
      <c r="E39" t="s">
        <v>249</v>
      </c>
      <c r="F39" t="s">
        <v>250</v>
      </c>
      <c r="G39" t="s">
        <v>262</v>
      </c>
    </row>
    <row r="40" spans="1:8" ht="17.25" hidden="1" customHeight="1" x14ac:dyDescent="0.2">
      <c r="A40" t="s">
        <v>15</v>
      </c>
      <c r="B40" t="s">
        <v>85</v>
      </c>
      <c r="C40" s="4">
        <v>7.4890552063986704E-2</v>
      </c>
      <c r="D40" t="s">
        <v>252</v>
      </c>
      <c r="E40" t="s">
        <v>247</v>
      </c>
      <c r="F40" t="s">
        <v>246</v>
      </c>
      <c r="G40" t="s">
        <v>262</v>
      </c>
      <c r="H40" s="5" t="s">
        <v>259</v>
      </c>
    </row>
    <row r="41" spans="1:8" hidden="1" x14ac:dyDescent="0.2">
      <c r="A41" t="s">
        <v>250</v>
      </c>
      <c r="B41" t="s">
        <v>116</v>
      </c>
      <c r="D41" t="s">
        <v>253</v>
      </c>
      <c r="E41" t="s">
        <v>249</v>
      </c>
      <c r="F41" t="s">
        <v>250</v>
      </c>
      <c r="G41" t="s">
        <v>262</v>
      </c>
    </row>
    <row r="42" spans="1:8" hidden="1" x14ac:dyDescent="0.2">
      <c r="A42" t="s">
        <v>15</v>
      </c>
      <c r="B42" t="s">
        <v>116</v>
      </c>
      <c r="C42" s="4">
        <v>1.149222165076294E-2</v>
      </c>
      <c r="D42" t="s">
        <v>253</v>
      </c>
      <c r="E42" t="s">
        <v>247</v>
      </c>
      <c r="F42" t="s">
        <v>246</v>
      </c>
      <c r="G42" t="s">
        <v>262</v>
      </c>
    </row>
    <row r="43" spans="1:8" hidden="1" x14ac:dyDescent="0.2">
      <c r="A43" t="s">
        <v>250</v>
      </c>
      <c r="B43" t="s">
        <v>86</v>
      </c>
      <c r="D43" t="s">
        <v>254</v>
      </c>
      <c r="E43" t="s">
        <v>249</v>
      </c>
      <c r="F43" t="s">
        <v>250</v>
      </c>
      <c r="G43" t="s">
        <v>262</v>
      </c>
    </row>
    <row r="44" spans="1:8" hidden="1" x14ac:dyDescent="0.2">
      <c r="A44" t="s">
        <v>15</v>
      </c>
      <c r="B44" t="s">
        <v>86</v>
      </c>
      <c r="C44" s="4">
        <v>0.54801746413232022</v>
      </c>
      <c r="D44" t="s">
        <v>254</v>
      </c>
      <c r="E44" t="s">
        <v>247</v>
      </c>
      <c r="F44" t="s">
        <v>246</v>
      </c>
      <c r="G44" t="s">
        <v>262</v>
      </c>
    </row>
    <row r="45" spans="1:8" hidden="1" x14ac:dyDescent="0.2">
      <c r="A45" t="s">
        <v>250</v>
      </c>
      <c r="B45" t="s">
        <v>91</v>
      </c>
      <c r="D45" t="s">
        <v>255</v>
      </c>
      <c r="E45" t="s">
        <v>249</v>
      </c>
      <c r="F45" t="s">
        <v>250</v>
      </c>
      <c r="G45" t="s">
        <v>262</v>
      </c>
    </row>
    <row r="46" spans="1:8" hidden="1" x14ac:dyDescent="0.2">
      <c r="A46" t="s">
        <v>15</v>
      </c>
      <c r="B46" t="s">
        <v>91</v>
      </c>
      <c r="C46" s="4">
        <v>3.756118986391339E-3</v>
      </c>
      <c r="D46" t="s">
        <v>255</v>
      </c>
      <c r="E46" t="s">
        <v>247</v>
      </c>
      <c r="F46" t="s">
        <v>246</v>
      </c>
      <c r="G46" t="s">
        <v>262</v>
      </c>
    </row>
    <row r="47" spans="1:8" hidden="1" x14ac:dyDescent="0.2">
      <c r="A47" t="s">
        <v>250</v>
      </c>
      <c r="B47" t="s">
        <v>117</v>
      </c>
      <c r="D47" t="s">
        <v>255</v>
      </c>
      <c r="E47" t="s">
        <v>249</v>
      </c>
      <c r="F47" t="s">
        <v>250</v>
      </c>
      <c r="G47" t="s">
        <v>262</v>
      </c>
    </row>
    <row r="48" spans="1:8" hidden="1" x14ac:dyDescent="0.2">
      <c r="A48" t="s">
        <v>15</v>
      </c>
      <c r="B48" t="s">
        <v>117</v>
      </c>
      <c r="C48" s="4">
        <v>7.7000439221022454E-3</v>
      </c>
      <c r="D48" t="s">
        <v>255</v>
      </c>
      <c r="E48" t="s">
        <v>247</v>
      </c>
      <c r="F48" t="s">
        <v>246</v>
      </c>
      <c r="G48" t="s">
        <v>262</v>
      </c>
    </row>
    <row r="49" spans="1:8" hidden="1" x14ac:dyDescent="0.2">
      <c r="A49" t="s">
        <v>250</v>
      </c>
      <c r="B49" t="s">
        <v>93</v>
      </c>
      <c r="D49" t="s">
        <v>255</v>
      </c>
      <c r="E49" t="s">
        <v>249</v>
      </c>
      <c r="F49" t="s">
        <v>250</v>
      </c>
      <c r="G49" t="s">
        <v>262</v>
      </c>
    </row>
    <row r="50" spans="1:8" hidden="1" x14ac:dyDescent="0.2">
      <c r="A50" t="s">
        <v>15</v>
      </c>
      <c r="B50" t="s">
        <v>93</v>
      </c>
      <c r="C50" s="4">
        <v>5.1773442639861476E-3</v>
      </c>
      <c r="D50" t="s">
        <v>255</v>
      </c>
      <c r="E50" t="s">
        <v>247</v>
      </c>
      <c r="F50" t="s">
        <v>246</v>
      </c>
      <c r="G50" t="s">
        <v>262</v>
      </c>
    </row>
    <row r="51" spans="1:8" hidden="1" x14ac:dyDescent="0.2">
      <c r="A51" t="s">
        <v>250</v>
      </c>
      <c r="B51" t="s">
        <v>94</v>
      </c>
      <c r="D51" t="s">
        <v>256</v>
      </c>
      <c r="E51" t="s">
        <v>249</v>
      </c>
      <c r="F51" t="s">
        <v>250</v>
      </c>
      <c r="G51" t="s">
        <v>262</v>
      </c>
    </row>
    <row r="52" spans="1:8" hidden="1" x14ac:dyDescent="0.2">
      <c r="A52" t="s">
        <v>15</v>
      </c>
      <c r="B52" t="s">
        <v>94</v>
      </c>
      <c r="C52" s="4">
        <v>2.1232934969219711E-3</v>
      </c>
      <c r="D52" t="s">
        <v>255</v>
      </c>
      <c r="E52" t="s">
        <v>247</v>
      </c>
      <c r="F52" t="s">
        <v>246</v>
      </c>
      <c r="G52" t="s">
        <v>262</v>
      </c>
      <c r="H52" t="s">
        <v>257</v>
      </c>
    </row>
    <row r="53" spans="1:8" hidden="1" x14ac:dyDescent="0.2">
      <c r="A53" t="s">
        <v>250</v>
      </c>
      <c r="B53" t="s">
        <v>97</v>
      </c>
      <c r="D53" t="s">
        <v>258</v>
      </c>
      <c r="E53" t="s">
        <v>249</v>
      </c>
      <c r="F53" t="s">
        <v>250</v>
      </c>
      <c r="G53" t="s">
        <v>262</v>
      </c>
    </row>
    <row r="54" spans="1:8" hidden="1" x14ac:dyDescent="0.2">
      <c r="A54" t="s">
        <v>15</v>
      </c>
      <c r="B54" t="s">
        <v>97</v>
      </c>
      <c r="C54" s="4">
        <v>4.9914042043342613E-2</v>
      </c>
      <c r="D54" t="s">
        <v>258</v>
      </c>
      <c r="E54" t="s">
        <v>247</v>
      </c>
      <c r="F54" t="s">
        <v>246</v>
      </c>
      <c r="G54" t="s">
        <v>262</v>
      </c>
    </row>
    <row r="55" spans="1:8" hidden="1" x14ac:dyDescent="0.2">
      <c r="A55" t="s">
        <v>250</v>
      </c>
      <c r="B55" t="s">
        <v>98</v>
      </c>
      <c r="D55" t="s">
        <v>258</v>
      </c>
      <c r="E55" t="s">
        <v>249</v>
      </c>
      <c r="F55" t="s">
        <v>250</v>
      </c>
      <c r="G55" t="s">
        <v>262</v>
      </c>
    </row>
    <row r="56" spans="1:8" hidden="1" x14ac:dyDescent="0.2">
      <c r="A56" t="s">
        <v>15</v>
      </c>
      <c r="B56" t="s">
        <v>98</v>
      </c>
      <c r="C56" s="4">
        <v>8.1631839102574589E-3</v>
      </c>
      <c r="D56" t="s">
        <v>258</v>
      </c>
      <c r="E56" t="s">
        <v>247</v>
      </c>
      <c r="F56" t="s">
        <v>246</v>
      </c>
      <c r="G56" t="s">
        <v>262</v>
      </c>
    </row>
    <row r="57" spans="1:8" hidden="1" x14ac:dyDescent="0.2">
      <c r="A57" t="s">
        <v>250</v>
      </c>
      <c r="B57" t="s">
        <v>99</v>
      </c>
      <c r="D57" t="s">
        <v>258</v>
      </c>
      <c r="E57" t="s">
        <v>249</v>
      </c>
      <c r="F57" t="s">
        <v>250</v>
      </c>
      <c r="G57" t="s">
        <v>262</v>
      </c>
    </row>
    <row r="58" spans="1:8" hidden="1" x14ac:dyDescent="0.2">
      <c r="A58" t="s">
        <v>15</v>
      </c>
      <c r="B58" t="s">
        <v>99</v>
      </c>
      <c r="C58" s="4">
        <v>1.763870471114184E-3</v>
      </c>
      <c r="D58" t="s">
        <v>258</v>
      </c>
      <c r="E58" t="s">
        <v>247</v>
      </c>
      <c r="F58" t="s">
        <v>246</v>
      </c>
      <c r="G58" t="s">
        <v>262</v>
      </c>
    </row>
    <row r="59" spans="1:8" hidden="1" x14ac:dyDescent="0.2">
      <c r="A59" t="s">
        <v>250</v>
      </c>
      <c r="B59" t="s">
        <v>118</v>
      </c>
      <c r="D59" t="s">
        <v>255</v>
      </c>
      <c r="E59" t="s">
        <v>249</v>
      </c>
      <c r="F59" t="s">
        <v>250</v>
      </c>
      <c r="G59" t="s">
        <v>262</v>
      </c>
    </row>
    <row r="60" spans="1:8" hidden="1" x14ac:dyDescent="0.2">
      <c r="A60" t="s">
        <v>15</v>
      </c>
      <c r="B60" t="s">
        <v>118</v>
      </c>
      <c r="C60" s="4">
        <v>1.3911853403892459E-2</v>
      </c>
      <c r="D60" t="s">
        <v>255</v>
      </c>
      <c r="E60" t="s">
        <v>247</v>
      </c>
      <c r="F60" t="s">
        <v>246</v>
      </c>
      <c r="G60" t="s">
        <v>262</v>
      </c>
    </row>
    <row r="61" spans="1:8" hidden="1" x14ac:dyDescent="0.2">
      <c r="A61" t="s">
        <v>250</v>
      </c>
      <c r="B61" t="s">
        <v>101</v>
      </c>
      <c r="D61" t="s">
        <v>253</v>
      </c>
      <c r="E61" t="s">
        <v>249</v>
      </c>
      <c r="F61" t="s">
        <v>250</v>
      </c>
      <c r="G61" t="s">
        <v>262</v>
      </c>
    </row>
    <row r="62" spans="1:8" hidden="1" x14ac:dyDescent="0.2">
      <c r="A62" t="s">
        <v>15</v>
      </c>
      <c r="B62" t="s">
        <v>101</v>
      </c>
      <c r="C62" s="4">
        <v>1.385003519761443E-2</v>
      </c>
      <c r="D62" t="s">
        <v>253</v>
      </c>
      <c r="E62" t="s">
        <v>247</v>
      </c>
      <c r="F62" t="s">
        <v>246</v>
      </c>
      <c r="G62" t="s">
        <v>262</v>
      </c>
    </row>
    <row r="63" spans="1:8" hidden="1" x14ac:dyDescent="0.2">
      <c r="A63" t="s">
        <v>250</v>
      </c>
      <c r="B63" t="s">
        <v>119</v>
      </c>
      <c r="D63" t="s">
        <v>258</v>
      </c>
      <c r="E63" t="s">
        <v>249</v>
      </c>
      <c r="F63" t="s">
        <v>250</v>
      </c>
      <c r="G63" t="s">
        <v>262</v>
      </c>
    </row>
    <row r="64" spans="1:8" hidden="1" x14ac:dyDescent="0.2">
      <c r="A64" t="s">
        <v>15</v>
      </c>
      <c r="B64" t="s">
        <v>119</v>
      </c>
      <c r="C64" s="4">
        <v>1.6061014541049909E-4</v>
      </c>
      <c r="D64" t="s">
        <v>258</v>
      </c>
      <c r="E64" t="s">
        <v>247</v>
      </c>
      <c r="F64" t="s">
        <v>246</v>
      </c>
      <c r="G64" t="s">
        <v>262</v>
      </c>
    </row>
    <row r="65" spans="1:7" hidden="1" x14ac:dyDescent="0.2">
      <c r="A65" t="s">
        <v>250</v>
      </c>
      <c r="B65" t="s">
        <v>102</v>
      </c>
      <c r="D65" t="s">
        <v>258</v>
      </c>
      <c r="E65" t="s">
        <v>249</v>
      </c>
      <c r="F65" t="s">
        <v>250</v>
      </c>
      <c r="G65" t="s">
        <v>262</v>
      </c>
    </row>
    <row r="66" spans="1:7" hidden="1" x14ac:dyDescent="0.2">
      <c r="A66" t="s">
        <v>15</v>
      </c>
      <c r="B66" t="s">
        <v>102</v>
      </c>
      <c r="C66" s="4">
        <v>1.0701167967752979E-2</v>
      </c>
      <c r="D66" t="s">
        <v>258</v>
      </c>
      <c r="E66" t="s">
        <v>247</v>
      </c>
      <c r="F66" t="s">
        <v>246</v>
      </c>
      <c r="G66" t="s">
        <v>262</v>
      </c>
    </row>
    <row r="67" spans="1:7" hidden="1" x14ac:dyDescent="0.2">
      <c r="A67" t="s">
        <v>250</v>
      </c>
      <c r="B67" t="s">
        <v>120</v>
      </c>
      <c r="D67" t="s">
        <v>255</v>
      </c>
      <c r="E67" t="s">
        <v>249</v>
      </c>
      <c r="F67" t="s">
        <v>250</v>
      </c>
      <c r="G67" t="s">
        <v>262</v>
      </c>
    </row>
    <row r="68" spans="1:7" hidden="1" x14ac:dyDescent="0.2">
      <c r="A68" t="s">
        <v>15</v>
      </c>
      <c r="B68" t="s">
        <v>120</v>
      </c>
      <c r="C68" s="4">
        <v>3.6513758523368301E-3</v>
      </c>
      <c r="D68" t="s">
        <v>255</v>
      </c>
      <c r="E68" t="s">
        <v>247</v>
      </c>
      <c r="F68" t="s">
        <v>246</v>
      </c>
      <c r="G68" t="s">
        <v>262</v>
      </c>
    </row>
    <row r="69" spans="1:7" hidden="1" x14ac:dyDescent="0.2">
      <c r="A69" t="s">
        <v>250</v>
      </c>
      <c r="B69" t="s">
        <v>107</v>
      </c>
      <c r="D69" t="s">
        <v>251</v>
      </c>
      <c r="E69" t="s">
        <v>249</v>
      </c>
      <c r="F69" t="s">
        <v>250</v>
      </c>
      <c r="G69" t="s">
        <v>262</v>
      </c>
    </row>
    <row r="70" spans="1:7" hidden="1" x14ac:dyDescent="0.2">
      <c r="A70" t="s">
        <v>15</v>
      </c>
      <c r="B70" t="s">
        <v>107</v>
      </c>
      <c r="C70" s="4">
        <v>2.1435419831538089E-2</v>
      </c>
      <c r="D70" t="s">
        <v>251</v>
      </c>
      <c r="E70" t="s">
        <v>247</v>
      </c>
      <c r="F70" t="s">
        <v>246</v>
      </c>
      <c r="G70" t="s">
        <v>262</v>
      </c>
    </row>
    <row r="71" spans="1:7" hidden="1" x14ac:dyDescent="0.2">
      <c r="A71" t="s">
        <v>250</v>
      </c>
      <c r="B71" t="s">
        <v>108</v>
      </c>
      <c r="D71" t="s">
        <v>258</v>
      </c>
      <c r="E71" t="s">
        <v>249</v>
      </c>
      <c r="F71" t="s">
        <v>250</v>
      </c>
      <c r="G71" t="s">
        <v>262</v>
      </c>
    </row>
    <row r="72" spans="1:7" hidden="1" x14ac:dyDescent="0.2">
      <c r="A72" t="s">
        <v>15</v>
      </c>
      <c r="B72" t="s">
        <v>108</v>
      </c>
      <c r="C72" s="4">
        <v>1.309740811428285E-2</v>
      </c>
      <c r="D72" t="s">
        <v>258</v>
      </c>
      <c r="E72" t="s">
        <v>247</v>
      </c>
      <c r="F72" t="s">
        <v>246</v>
      </c>
      <c r="G72" t="s">
        <v>262</v>
      </c>
    </row>
    <row r="73" spans="1:7" hidden="1" x14ac:dyDescent="0.2">
      <c r="A73" t="s">
        <v>250</v>
      </c>
      <c r="B73" t="s">
        <v>121</v>
      </c>
      <c r="D73" t="s">
        <v>255</v>
      </c>
      <c r="E73" t="s">
        <v>249</v>
      </c>
      <c r="F73" t="s">
        <v>250</v>
      </c>
      <c r="G73" t="s">
        <v>262</v>
      </c>
    </row>
    <row r="74" spans="1:7" hidden="1" x14ac:dyDescent="0.2">
      <c r="A74" t="s">
        <v>15</v>
      </c>
      <c r="B74" t="s">
        <v>121</v>
      </c>
      <c r="C74" s="4">
        <v>1.1810740540808931E-2</v>
      </c>
      <c r="D74" t="s">
        <v>255</v>
      </c>
      <c r="E74" t="s">
        <v>247</v>
      </c>
      <c r="F74" t="s">
        <v>246</v>
      </c>
      <c r="G74" t="s">
        <v>262</v>
      </c>
    </row>
    <row r="75" spans="1:7" hidden="1" x14ac:dyDescent="0.2">
      <c r="A75" t="s">
        <v>250</v>
      </c>
      <c r="B75" t="s">
        <v>112</v>
      </c>
      <c r="D75" t="s">
        <v>258</v>
      </c>
      <c r="E75" t="s">
        <v>249</v>
      </c>
      <c r="F75" t="s">
        <v>250</v>
      </c>
      <c r="G75" t="s">
        <v>262</v>
      </c>
    </row>
    <row r="76" spans="1:7" hidden="1" x14ac:dyDescent="0.2">
      <c r="A76" t="s">
        <v>15</v>
      </c>
      <c r="B76" t="s">
        <v>112</v>
      </c>
      <c r="C76" s="4">
        <v>1.9531818729234961E-3</v>
      </c>
      <c r="D76" t="s">
        <v>258</v>
      </c>
      <c r="E76" t="s">
        <v>247</v>
      </c>
      <c r="F76" t="s">
        <v>246</v>
      </c>
      <c r="G76" t="s">
        <v>262</v>
      </c>
    </row>
    <row r="77" spans="1:7" hidden="1" x14ac:dyDescent="0.2">
      <c r="A77" t="s">
        <v>250</v>
      </c>
      <c r="B77" t="s">
        <v>113</v>
      </c>
      <c r="D77" t="s">
        <v>253</v>
      </c>
      <c r="E77" t="s">
        <v>249</v>
      </c>
      <c r="F77" t="s">
        <v>250</v>
      </c>
      <c r="G77" t="s">
        <v>262</v>
      </c>
    </row>
    <row r="78" spans="1:7" hidden="1" x14ac:dyDescent="0.2">
      <c r="A78" t="s">
        <v>15</v>
      </c>
      <c r="B78" t="s">
        <v>113</v>
      </c>
      <c r="C78" s="4">
        <v>1.014152126325661E-2</v>
      </c>
      <c r="D78" t="s">
        <v>253</v>
      </c>
      <c r="E78" t="s">
        <v>247</v>
      </c>
      <c r="F78" t="s">
        <v>246</v>
      </c>
      <c r="G78" t="s">
        <v>262</v>
      </c>
    </row>
    <row r="79" spans="1:7" hidden="1" x14ac:dyDescent="0.2">
      <c r="A79" t="s">
        <v>250</v>
      </c>
      <c r="B79" t="s">
        <v>122</v>
      </c>
      <c r="D79" t="s">
        <v>251</v>
      </c>
      <c r="E79" t="s">
        <v>249</v>
      </c>
      <c r="F79" t="s">
        <v>250</v>
      </c>
      <c r="G79" t="s">
        <v>262</v>
      </c>
    </row>
    <row r="80" spans="1:7" hidden="1" x14ac:dyDescent="0.2">
      <c r="A80" t="s">
        <v>15</v>
      </c>
      <c r="B80" t="s">
        <v>122</v>
      </c>
      <c r="C80" s="4">
        <v>1.2930063998753551E-2</v>
      </c>
      <c r="D80" t="s">
        <v>251</v>
      </c>
      <c r="E80" t="s">
        <v>247</v>
      </c>
      <c r="F80" t="s">
        <v>246</v>
      </c>
      <c r="G80" t="s">
        <v>262</v>
      </c>
    </row>
    <row r="81" spans="1:8" hidden="1" x14ac:dyDescent="0.2">
      <c r="A81" t="s">
        <v>250</v>
      </c>
      <c r="B81" t="s">
        <v>123</v>
      </c>
      <c r="D81" t="s">
        <v>258</v>
      </c>
      <c r="E81" t="s">
        <v>249</v>
      </c>
      <c r="F81" t="s">
        <v>250</v>
      </c>
      <c r="G81" t="s">
        <v>262</v>
      </c>
    </row>
    <row r="82" spans="1:8" hidden="1" x14ac:dyDescent="0.2">
      <c r="A82" t="s">
        <v>15</v>
      </c>
      <c r="B82" t="s">
        <v>123</v>
      </c>
      <c r="C82" s="4">
        <v>7.9930212030407694E-3</v>
      </c>
      <c r="D82" t="s">
        <v>258</v>
      </c>
      <c r="E82" t="s">
        <v>247</v>
      </c>
      <c r="F82" t="s">
        <v>246</v>
      </c>
      <c r="G82" t="s">
        <v>262</v>
      </c>
    </row>
    <row r="83" spans="1:8" hidden="1" x14ac:dyDescent="0.2">
      <c r="A83" t="s">
        <v>250</v>
      </c>
      <c r="B83" t="s">
        <v>114</v>
      </c>
      <c r="D83" t="s">
        <v>252</v>
      </c>
      <c r="E83" t="s">
        <v>249</v>
      </c>
      <c r="F83" t="s">
        <v>250</v>
      </c>
      <c r="G83" t="s">
        <v>262</v>
      </c>
    </row>
    <row r="84" spans="1:8" hidden="1" x14ac:dyDescent="0.2">
      <c r="A84" t="s">
        <v>15</v>
      </c>
      <c r="B84" t="s">
        <v>114</v>
      </c>
      <c r="C84" s="4">
        <v>3.1851889004598548E-4</v>
      </c>
      <c r="D84" t="s">
        <v>252</v>
      </c>
      <c r="E84" t="s">
        <v>247</v>
      </c>
      <c r="F84" t="s">
        <v>246</v>
      </c>
      <c r="G84" t="s">
        <v>262</v>
      </c>
    </row>
    <row r="85" spans="1:8" hidden="1" x14ac:dyDescent="0.2">
      <c r="A85" t="s">
        <v>250</v>
      </c>
      <c r="B85" t="s">
        <v>115</v>
      </c>
      <c r="D85" t="s">
        <v>258</v>
      </c>
      <c r="E85" t="s">
        <v>249</v>
      </c>
      <c r="F85" t="s">
        <v>250</v>
      </c>
      <c r="G85" t="s">
        <v>262</v>
      </c>
    </row>
    <row r="86" spans="1:8" hidden="1" x14ac:dyDescent="0.2">
      <c r="A86" t="s">
        <v>15</v>
      </c>
      <c r="B86" t="s">
        <v>115</v>
      </c>
      <c r="C86" s="4">
        <v>9.8953812836307959E-3</v>
      </c>
      <c r="D86" t="s">
        <v>258</v>
      </c>
      <c r="E86" t="s">
        <v>247</v>
      </c>
      <c r="F86" t="s">
        <v>246</v>
      </c>
      <c r="G86" t="s">
        <v>262</v>
      </c>
    </row>
    <row r="87" spans="1:8" hidden="1" x14ac:dyDescent="0.2">
      <c r="A87" t="s">
        <v>266</v>
      </c>
      <c r="B87" t="s">
        <v>124</v>
      </c>
      <c r="D87" t="s">
        <v>252</v>
      </c>
      <c r="E87" t="s">
        <v>268</v>
      </c>
      <c r="F87" t="s">
        <v>269</v>
      </c>
      <c r="G87" t="s">
        <v>262</v>
      </c>
      <c r="H87" t="s">
        <v>267</v>
      </c>
    </row>
    <row r="88" spans="1:8" ht="16" hidden="1" x14ac:dyDescent="0.2">
      <c r="A88" t="s">
        <v>16</v>
      </c>
      <c r="B88" t="s">
        <v>124</v>
      </c>
      <c r="C88" s="4">
        <v>6.0809219538082056E-3</v>
      </c>
      <c r="D88" t="s">
        <v>252</v>
      </c>
      <c r="E88" t="s">
        <v>264</v>
      </c>
      <c r="F88" t="s">
        <v>265</v>
      </c>
      <c r="G88" t="s">
        <v>262</v>
      </c>
      <c r="H88" s="5" t="s">
        <v>263</v>
      </c>
    </row>
    <row r="89" spans="1:8" hidden="1" x14ac:dyDescent="0.2">
      <c r="A89" t="s">
        <v>266</v>
      </c>
      <c r="B89" t="s">
        <v>83</v>
      </c>
      <c r="D89" t="s">
        <v>248</v>
      </c>
      <c r="E89" t="s">
        <v>268</v>
      </c>
      <c r="F89" t="s">
        <v>269</v>
      </c>
      <c r="G89" t="s">
        <v>262</v>
      </c>
      <c r="H89" s="5"/>
    </row>
    <row r="90" spans="1:8" hidden="1" x14ac:dyDescent="0.2">
      <c r="A90" t="s">
        <v>16</v>
      </c>
      <c r="B90" t="s">
        <v>83</v>
      </c>
      <c r="C90" s="4">
        <v>2.4148460023686289E-2</v>
      </c>
      <c r="D90" t="s">
        <v>248</v>
      </c>
      <c r="E90" t="s">
        <v>264</v>
      </c>
      <c r="F90" t="s">
        <v>265</v>
      </c>
      <c r="G90" t="s">
        <v>262</v>
      </c>
    </row>
    <row r="91" spans="1:8" hidden="1" x14ac:dyDescent="0.2">
      <c r="A91" t="s">
        <v>266</v>
      </c>
      <c r="B91" t="s">
        <v>125</v>
      </c>
      <c r="D91" t="s">
        <v>258</v>
      </c>
      <c r="E91" t="s">
        <v>268</v>
      </c>
      <c r="F91" t="s">
        <v>269</v>
      </c>
      <c r="G91" t="s">
        <v>262</v>
      </c>
    </row>
    <row r="92" spans="1:8" hidden="1" x14ac:dyDescent="0.2">
      <c r="A92" t="s">
        <v>16</v>
      </c>
      <c r="B92" t="s">
        <v>125</v>
      </c>
      <c r="C92" s="4">
        <v>4.9895276369554299E-4</v>
      </c>
      <c r="D92" t="s">
        <v>258</v>
      </c>
      <c r="E92" t="s">
        <v>264</v>
      </c>
      <c r="F92" t="s">
        <v>265</v>
      </c>
      <c r="G92" t="s">
        <v>262</v>
      </c>
    </row>
    <row r="93" spans="1:8" hidden="1" x14ac:dyDescent="0.2">
      <c r="A93" t="s">
        <v>266</v>
      </c>
      <c r="B93" t="s">
        <v>126</v>
      </c>
      <c r="D93" t="s">
        <v>270</v>
      </c>
      <c r="E93" t="s">
        <v>268</v>
      </c>
      <c r="F93" t="s">
        <v>269</v>
      </c>
      <c r="G93" t="s">
        <v>262</v>
      </c>
    </row>
    <row r="94" spans="1:8" hidden="1" x14ac:dyDescent="0.2">
      <c r="A94" t="s">
        <v>16</v>
      </c>
      <c r="B94" t="s">
        <v>126</v>
      </c>
      <c r="C94" s="4">
        <v>2.0089414887772831E-2</v>
      </c>
      <c r="D94" t="s">
        <v>270</v>
      </c>
      <c r="E94" t="s">
        <v>264</v>
      </c>
      <c r="F94" t="s">
        <v>265</v>
      </c>
      <c r="G94" t="s">
        <v>262</v>
      </c>
    </row>
    <row r="95" spans="1:8" hidden="1" x14ac:dyDescent="0.2">
      <c r="A95" t="s">
        <v>266</v>
      </c>
      <c r="B95" t="s">
        <v>84</v>
      </c>
      <c r="D95" t="s">
        <v>251</v>
      </c>
      <c r="E95" t="s">
        <v>268</v>
      </c>
      <c r="F95" t="s">
        <v>269</v>
      </c>
      <c r="G95" t="s">
        <v>262</v>
      </c>
    </row>
    <row r="96" spans="1:8" hidden="1" x14ac:dyDescent="0.2">
      <c r="A96" t="s">
        <v>16</v>
      </c>
      <c r="B96" t="s">
        <v>84</v>
      </c>
      <c r="C96" s="4">
        <v>1.177262210377023E-3</v>
      </c>
      <c r="D96" t="s">
        <v>251</v>
      </c>
      <c r="E96" t="s">
        <v>264</v>
      </c>
      <c r="F96" t="s">
        <v>265</v>
      </c>
      <c r="G96" t="s">
        <v>262</v>
      </c>
    </row>
    <row r="97" spans="1:7" hidden="1" x14ac:dyDescent="0.2">
      <c r="A97" t="s">
        <v>266</v>
      </c>
      <c r="B97" t="s">
        <v>85</v>
      </c>
      <c r="D97" t="s">
        <v>252</v>
      </c>
      <c r="E97" t="s">
        <v>268</v>
      </c>
      <c r="F97" t="s">
        <v>269</v>
      </c>
      <c r="G97" t="s">
        <v>262</v>
      </c>
    </row>
    <row r="98" spans="1:7" hidden="1" x14ac:dyDescent="0.2">
      <c r="A98" t="s">
        <v>16</v>
      </c>
      <c r="B98" t="s">
        <v>85</v>
      </c>
      <c r="C98" s="4">
        <v>1.108400751570086E-2</v>
      </c>
      <c r="D98" t="s">
        <v>252</v>
      </c>
      <c r="E98" t="s">
        <v>264</v>
      </c>
      <c r="F98" t="s">
        <v>265</v>
      </c>
      <c r="G98" t="s">
        <v>262</v>
      </c>
    </row>
    <row r="99" spans="1:7" hidden="1" x14ac:dyDescent="0.2">
      <c r="A99" t="s">
        <v>266</v>
      </c>
      <c r="B99" t="s">
        <v>127</v>
      </c>
      <c r="D99" t="s">
        <v>272</v>
      </c>
      <c r="E99" t="s">
        <v>268</v>
      </c>
      <c r="F99" t="s">
        <v>269</v>
      </c>
      <c r="G99" t="s">
        <v>262</v>
      </c>
    </row>
    <row r="100" spans="1:7" hidden="1" x14ac:dyDescent="0.2">
      <c r="A100" t="s">
        <v>16</v>
      </c>
      <c r="B100" t="s">
        <v>127</v>
      </c>
      <c r="C100" s="4">
        <v>8.9226307102875397E-4</v>
      </c>
      <c r="D100" t="s">
        <v>272</v>
      </c>
      <c r="E100" t="s">
        <v>264</v>
      </c>
      <c r="F100" t="s">
        <v>265</v>
      </c>
      <c r="G100" t="s">
        <v>262</v>
      </c>
    </row>
    <row r="101" spans="1:7" hidden="1" x14ac:dyDescent="0.2">
      <c r="A101" t="s">
        <v>266</v>
      </c>
      <c r="B101" t="s">
        <v>116</v>
      </c>
      <c r="D101" t="s">
        <v>271</v>
      </c>
      <c r="E101" t="s">
        <v>268</v>
      </c>
      <c r="F101" t="s">
        <v>269</v>
      </c>
      <c r="G101" t="s">
        <v>262</v>
      </c>
    </row>
    <row r="102" spans="1:7" hidden="1" x14ac:dyDescent="0.2">
      <c r="A102" t="s">
        <v>16</v>
      </c>
      <c r="B102" t="s">
        <v>116</v>
      </c>
      <c r="C102" s="4">
        <v>4.7536967908338862E-2</v>
      </c>
      <c r="D102" t="s">
        <v>271</v>
      </c>
      <c r="E102" t="s">
        <v>264</v>
      </c>
      <c r="F102" t="s">
        <v>265</v>
      </c>
      <c r="G102" t="s">
        <v>262</v>
      </c>
    </row>
    <row r="103" spans="1:7" hidden="1" x14ac:dyDescent="0.2">
      <c r="A103" t="s">
        <v>266</v>
      </c>
      <c r="B103" t="s">
        <v>86</v>
      </c>
      <c r="D103" t="s">
        <v>254</v>
      </c>
      <c r="E103" t="s">
        <v>268</v>
      </c>
      <c r="F103" t="s">
        <v>269</v>
      </c>
      <c r="G103" t="s">
        <v>262</v>
      </c>
    </row>
    <row r="104" spans="1:7" hidden="1" x14ac:dyDescent="0.2">
      <c r="A104" t="s">
        <v>16</v>
      </c>
      <c r="B104" t="s">
        <v>86</v>
      </c>
      <c r="C104" s="4">
        <v>0.56624839712255726</v>
      </c>
      <c r="D104" t="s">
        <v>254</v>
      </c>
      <c r="E104" t="s">
        <v>264</v>
      </c>
      <c r="F104" t="s">
        <v>265</v>
      </c>
      <c r="G104" t="s">
        <v>262</v>
      </c>
    </row>
    <row r="105" spans="1:7" hidden="1" x14ac:dyDescent="0.2">
      <c r="A105" t="s">
        <v>266</v>
      </c>
      <c r="B105" t="s">
        <v>128</v>
      </c>
      <c r="D105" t="s">
        <v>272</v>
      </c>
      <c r="E105" t="s">
        <v>268</v>
      </c>
      <c r="F105" t="s">
        <v>269</v>
      </c>
      <c r="G105" t="s">
        <v>262</v>
      </c>
    </row>
    <row r="106" spans="1:7" hidden="1" x14ac:dyDescent="0.2">
      <c r="A106" t="s">
        <v>16</v>
      </c>
      <c r="B106" t="s">
        <v>128</v>
      </c>
      <c r="C106" s="4">
        <v>4.3463650291407623E-3</v>
      </c>
      <c r="D106" t="s">
        <v>272</v>
      </c>
      <c r="E106" t="s">
        <v>264</v>
      </c>
      <c r="F106" t="s">
        <v>265</v>
      </c>
      <c r="G106" t="s">
        <v>262</v>
      </c>
    </row>
    <row r="107" spans="1:7" hidden="1" x14ac:dyDescent="0.2">
      <c r="A107" t="s">
        <v>266</v>
      </c>
      <c r="B107" t="s">
        <v>91</v>
      </c>
      <c r="D107" t="s">
        <v>255</v>
      </c>
      <c r="E107" t="s">
        <v>268</v>
      </c>
      <c r="F107" t="s">
        <v>269</v>
      </c>
      <c r="G107" t="s">
        <v>262</v>
      </c>
    </row>
    <row r="108" spans="1:7" hidden="1" x14ac:dyDescent="0.2">
      <c r="A108" t="s">
        <v>16</v>
      </c>
      <c r="B108" t="s">
        <v>91</v>
      </c>
      <c r="C108" s="4">
        <v>6.4278979594655011E-3</v>
      </c>
      <c r="D108" t="s">
        <v>255</v>
      </c>
      <c r="E108" t="s">
        <v>264</v>
      </c>
      <c r="F108" t="s">
        <v>265</v>
      </c>
      <c r="G108" t="s">
        <v>262</v>
      </c>
    </row>
    <row r="109" spans="1:7" hidden="1" x14ac:dyDescent="0.2">
      <c r="A109" t="s">
        <v>266</v>
      </c>
      <c r="B109" t="s">
        <v>117</v>
      </c>
      <c r="D109" t="s">
        <v>255</v>
      </c>
      <c r="E109" t="s">
        <v>268</v>
      </c>
      <c r="F109" t="s">
        <v>269</v>
      </c>
      <c r="G109" t="s">
        <v>262</v>
      </c>
    </row>
    <row r="110" spans="1:7" hidden="1" x14ac:dyDescent="0.2">
      <c r="A110" t="s">
        <v>16</v>
      </c>
      <c r="B110" t="s">
        <v>117</v>
      </c>
      <c r="C110" s="4">
        <v>8.188977341783964E-3</v>
      </c>
      <c r="D110" t="s">
        <v>255</v>
      </c>
      <c r="E110" t="s">
        <v>264</v>
      </c>
      <c r="F110" t="s">
        <v>265</v>
      </c>
      <c r="G110" t="s">
        <v>262</v>
      </c>
    </row>
    <row r="111" spans="1:7" hidden="1" x14ac:dyDescent="0.2">
      <c r="A111" t="s">
        <v>266</v>
      </c>
      <c r="B111" t="s">
        <v>92</v>
      </c>
      <c r="D111" t="s">
        <v>272</v>
      </c>
      <c r="E111" t="s">
        <v>268</v>
      </c>
      <c r="F111" t="s">
        <v>269</v>
      </c>
      <c r="G111" t="s">
        <v>262</v>
      </c>
    </row>
    <row r="112" spans="1:7" hidden="1" x14ac:dyDescent="0.2">
      <c r="A112" t="s">
        <v>16</v>
      </c>
      <c r="B112" t="s">
        <v>92</v>
      </c>
      <c r="C112" s="4">
        <v>6.118588379550381E-4</v>
      </c>
      <c r="D112" t="s">
        <v>272</v>
      </c>
      <c r="E112" t="s">
        <v>264</v>
      </c>
      <c r="F112" t="s">
        <v>265</v>
      </c>
      <c r="G112" t="s">
        <v>262</v>
      </c>
    </row>
    <row r="113" spans="1:7" hidden="1" x14ac:dyDescent="0.2">
      <c r="A113" t="s">
        <v>266</v>
      </c>
      <c r="B113" t="s">
        <v>93</v>
      </c>
      <c r="D113" t="s">
        <v>255</v>
      </c>
      <c r="E113" t="s">
        <v>268</v>
      </c>
      <c r="F113" t="s">
        <v>269</v>
      </c>
      <c r="G113" t="s">
        <v>262</v>
      </c>
    </row>
    <row r="114" spans="1:7" hidden="1" x14ac:dyDescent="0.2">
      <c r="A114" t="s">
        <v>16</v>
      </c>
      <c r="B114" t="s">
        <v>93</v>
      </c>
      <c r="C114" s="4">
        <v>2.8623904948631728E-3</v>
      </c>
      <c r="D114" t="s">
        <v>255</v>
      </c>
      <c r="E114" t="s">
        <v>264</v>
      </c>
      <c r="F114" t="s">
        <v>265</v>
      </c>
      <c r="G114" t="s">
        <v>262</v>
      </c>
    </row>
    <row r="115" spans="1:7" hidden="1" x14ac:dyDescent="0.2">
      <c r="A115" t="s">
        <v>266</v>
      </c>
      <c r="B115" t="s">
        <v>129</v>
      </c>
      <c r="D115" t="s">
        <v>255</v>
      </c>
      <c r="E115" t="s">
        <v>268</v>
      </c>
      <c r="F115" t="s">
        <v>269</v>
      </c>
      <c r="G115" t="s">
        <v>262</v>
      </c>
    </row>
    <row r="116" spans="1:7" hidden="1" x14ac:dyDescent="0.2">
      <c r="A116" t="s">
        <v>16</v>
      </c>
      <c r="B116" t="s">
        <v>129</v>
      </c>
      <c r="C116" s="4">
        <v>1.1324325152655201E-2</v>
      </c>
      <c r="D116" t="s">
        <v>255</v>
      </c>
      <c r="E116" t="s">
        <v>264</v>
      </c>
      <c r="F116" t="s">
        <v>265</v>
      </c>
      <c r="G116" t="s">
        <v>262</v>
      </c>
    </row>
    <row r="117" spans="1:7" hidden="1" x14ac:dyDescent="0.2">
      <c r="A117" t="s">
        <v>266</v>
      </c>
      <c r="B117" t="s">
        <v>97</v>
      </c>
      <c r="D117" t="s">
        <v>258</v>
      </c>
      <c r="E117" t="s">
        <v>268</v>
      </c>
      <c r="F117" t="s">
        <v>269</v>
      </c>
      <c r="G117" t="s">
        <v>262</v>
      </c>
    </row>
    <row r="118" spans="1:7" hidden="1" x14ac:dyDescent="0.2">
      <c r="A118" t="s">
        <v>16</v>
      </c>
      <c r="B118" t="s">
        <v>97</v>
      </c>
      <c r="C118" s="4">
        <v>5.5719607448364822E-2</v>
      </c>
      <c r="D118" t="s">
        <v>258</v>
      </c>
      <c r="E118" t="s">
        <v>264</v>
      </c>
      <c r="F118" t="s">
        <v>265</v>
      </c>
      <c r="G118" t="s">
        <v>262</v>
      </c>
    </row>
    <row r="119" spans="1:7" hidden="1" x14ac:dyDescent="0.2">
      <c r="A119" t="s">
        <v>266</v>
      </c>
      <c r="B119" t="s">
        <v>98</v>
      </c>
      <c r="D119" t="s">
        <v>258</v>
      </c>
      <c r="E119" t="s">
        <v>268</v>
      </c>
      <c r="F119" t="s">
        <v>269</v>
      </c>
      <c r="G119" t="s">
        <v>262</v>
      </c>
    </row>
    <row r="120" spans="1:7" hidden="1" x14ac:dyDescent="0.2">
      <c r="A120" t="s">
        <v>16</v>
      </c>
      <c r="B120" t="s">
        <v>98</v>
      </c>
      <c r="C120" s="4">
        <v>3.5167094978312682E-3</v>
      </c>
      <c r="D120" t="s">
        <v>258</v>
      </c>
      <c r="E120" t="s">
        <v>264</v>
      </c>
      <c r="F120" t="s">
        <v>265</v>
      </c>
      <c r="G120" t="s">
        <v>262</v>
      </c>
    </row>
    <row r="121" spans="1:7" hidden="1" x14ac:dyDescent="0.2">
      <c r="A121" t="s">
        <v>266</v>
      </c>
      <c r="B121" t="s">
        <v>99</v>
      </c>
      <c r="D121" t="s">
        <v>258</v>
      </c>
      <c r="E121" t="s">
        <v>268</v>
      </c>
      <c r="F121" t="s">
        <v>269</v>
      </c>
      <c r="G121" t="s">
        <v>262</v>
      </c>
    </row>
    <row r="122" spans="1:7" hidden="1" x14ac:dyDescent="0.2">
      <c r="A122" t="s">
        <v>16</v>
      </c>
      <c r="B122" t="s">
        <v>99</v>
      </c>
      <c r="C122" s="4">
        <v>5.7604342313806838E-3</v>
      </c>
      <c r="D122" t="s">
        <v>258</v>
      </c>
      <c r="E122" t="s">
        <v>264</v>
      </c>
      <c r="F122" t="s">
        <v>265</v>
      </c>
      <c r="G122" t="s">
        <v>262</v>
      </c>
    </row>
    <row r="123" spans="1:7" hidden="1" x14ac:dyDescent="0.2">
      <c r="A123" t="s">
        <v>266</v>
      </c>
      <c r="B123" t="s">
        <v>102</v>
      </c>
      <c r="D123" t="s">
        <v>258</v>
      </c>
      <c r="E123" t="s">
        <v>268</v>
      </c>
      <c r="F123" t="s">
        <v>269</v>
      </c>
      <c r="G123" t="s">
        <v>262</v>
      </c>
    </row>
    <row r="124" spans="1:7" hidden="1" x14ac:dyDescent="0.2">
      <c r="A124" t="s">
        <v>16</v>
      </c>
      <c r="B124" t="s">
        <v>102</v>
      </c>
      <c r="C124" s="4">
        <v>4.0521232622287382E-3</v>
      </c>
      <c r="D124" t="s">
        <v>258</v>
      </c>
      <c r="E124" t="s">
        <v>264</v>
      </c>
      <c r="F124" t="s">
        <v>265</v>
      </c>
      <c r="G124" t="s">
        <v>262</v>
      </c>
    </row>
    <row r="125" spans="1:7" hidden="1" x14ac:dyDescent="0.2">
      <c r="A125" t="s">
        <v>266</v>
      </c>
      <c r="B125" t="s">
        <v>103</v>
      </c>
      <c r="D125" t="s">
        <v>258</v>
      </c>
      <c r="E125" t="s">
        <v>268</v>
      </c>
      <c r="F125" t="s">
        <v>269</v>
      </c>
      <c r="G125" t="s">
        <v>262</v>
      </c>
    </row>
    <row r="126" spans="1:7" hidden="1" x14ac:dyDescent="0.2">
      <c r="A126" t="s">
        <v>16</v>
      </c>
      <c r="B126" t="s">
        <v>103</v>
      </c>
      <c r="C126" s="4">
        <v>1.249230434751609E-2</v>
      </c>
      <c r="D126" t="s">
        <v>258</v>
      </c>
      <c r="E126" t="s">
        <v>264</v>
      </c>
      <c r="F126" t="s">
        <v>265</v>
      </c>
      <c r="G126" t="s">
        <v>262</v>
      </c>
    </row>
    <row r="127" spans="1:7" hidden="1" x14ac:dyDescent="0.2">
      <c r="A127" t="s">
        <v>266</v>
      </c>
      <c r="B127" t="s">
        <v>104</v>
      </c>
      <c r="D127" t="s">
        <v>251</v>
      </c>
      <c r="E127" t="s">
        <v>268</v>
      </c>
      <c r="F127" t="s">
        <v>269</v>
      </c>
      <c r="G127" t="s">
        <v>262</v>
      </c>
    </row>
    <row r="128" spans="1:7" hidden="1" x14ac:dyDescent="0.2">
      <c r="A128" t="s">
        <v>16</v>
      </c>
      <c r="B128" t="s">
        <v>104</v>
      </c>
      <c r="C128" s="4">
        <v>6.1664947046035257E-4</v>
      </c>
      <c r="D128" t="s">
        <v>251</v>
      </c>
      <c r="E128" t="s">
        <v>264</v>
      </c>
      <c r="F128" t="s">
        <v>265</v>
      </c>
      <c r="G128" t="s">
        <v>262</v>
      </c>
    </row>
    <row r="129" spans="1:7" hidden="1" x14ac:dyDescent="0.2">
      <c r="A129" t="s">
        <v>266</v>
      </c>
      <c r="B129" t="s">
        <v>105</v>
      </c>
      <c r="D129" t="s">
        <v>272</v>
      </c>
      <c r="E129" t="s">
        <v>268</v>
      </c>
      <c r="F129" t="s">
        <v>269</v>
      </c>
      <c r="G129" t="s">
        <v>262</v>
      </c>
    </row>
    <row r="130" spans="1:7" hidden="1" x14ac:dyDescent="0.2">
      <c r="A130" t="s">
        <v>16</v>
      </c>
      <c r="B130" t="s">
        <v>105</v>
      </c>
      <c r="C130" s="4">
        <v>8.8519735409825027E-3</v>
      </c>
      <c r="D130" t="s">
        <v>272</v>
      </c>
      <c r="E130" t="s">
        <v>264</v>
      </c>
      <c r="F130" t="s">
        <v>265</v>
      </c>
      <c r="G130" t="s">
        <v>262</v>
      </c>
    </row>
    <row r="131" spans="1:7" hidden="1" x14ac:dyDescent="0.2">
      <c r="A131" t="s">
        <v>266</v>
      </c>
      <c r="B131" t="s">
        <v>130</v>
      </c>
      <c r="D131" t="s">
        <v>255</v>
      </c>
      <c r="E131" t="s">
        <v>268</v>
      </c>
      <c r="F131" t="s">
        <v>269</v>
      </c>
      <c r="G131" t="s">
        <v>262</v>
      </c>
    </row>
    <row r="132" spans="1:7" hidden="1" x14ac:dyDescent="0.2">
      <c r="A132" t="s">
        <v>16</v>
      </c>
      <c r="B132" t="s">
        <v>130</v>
      </c>
      <c r="C132" s="4">
        <v>8.3571993769754468E-4</v>
      </c>
      <c r="D132" t="s">
        <v>255</v>
      </c>
      <c r="E132" t="s">
        <v>264</v>
      </c>
      <c r="F132" t="s">
        <v>265</v>
      </c>
      <c r="G132" t="s">
        <v>262</v>
      </c>
    </row>
    <row r="133" spans="1:7" hidden="1" x14ac:dyDescent="0.2">
      <c r="A133" t="s">
        <v>266</v>
      </c>
      <c r="B133" t="s">
        <v>131</v>
      </c>
      <c r="D133" t="s">
        <v>248</v>
      </c>
      <c r="E133" t="s">
        <v>268</v>
      </c>
      <c r="F133" t="s">
        <v>269</v>
      </c>
      <c r="G133" t="s">
        <v>262</v>
      </c>
    </row>
    <row r="134" spans="1:7" hidden="1" x14ac:dyDescent="0.2">
      <c r="A134" t="s">
        <v>16</v>
      </c>
      <c r="B134" t="s">
        <v>131</v>
      </c>
      <c r="C134" s="4">
        <v>5.2781585852522796E-3</v>
      </c>
      <c r="D134" t="s">
        <v>248</v>
      </c>
      <c r="E134" t="s">
        <v>264</v>
      </c>
      <c r="F134" t="s">
        <v>265</v>
      </c>
      <c r="G134" t="s">
        <v>262</v>
      </c>
    </row>
    <row r="135" spans="1:7" hidden="1" x14ac:dyDescent="0.2">
      <c r="A135" t="s">
        <v>266</v>
      </c>
      <c r="B135" t="s">
        <v>132</v>
      </c>
      <c r="D135" t="s">
        <v>255</v>
      </c>
      <c r="E135" t="s">
        <v>268</v>
      </c>
      <c r="F135" t="s">
        <v>269</v>
      </c>
      <c r="G135" t="s">
        <v>262</v>
      </c>
    </row>
    <row r="136" spans="1:7" hidden="1" x14ac:dyDescent="0.2">
      <c r="A136" t="s">
        <v>16</v>
      </c>
      <c r="B136" t="s">
        <v>132</v>
      </c>
      <c r="C136" s="4">
        <v>2.0569894823403139E-2</v>
      </c>
      <c r="D136" t="s">
        <v>255</v>
      </c>
      <c r="E136" t="s">
        <v>264</v>
      </c>
      <c r="F136" t="s">
        <v>265</v>
      </c>
      <c r="G136" t="s">
        <v>262</v>
      </c>
    </row>
    <row r="137" spans="1:7" hidden="1" x14ac:dyDescent="0.2">
      <c r="A137" t="s">
        <v>266</v>
      </c>
      <c r="B137" t="s">
        <v>133</v>
      </c>
      <c r="D137" t="s">
        <v>270</v>
      </c>
      <c r="E137" t="s">
        <v>268</v>
      </c>
      <c r="F137" t="s">
        <v>269</v>
      </c>
      <c r="G137" t="s">
        <v>262</v>
      </c>
    </row>
    <row r="138" spans="1:7" hidden="1" x14ac:dyDescent="0.2">
      <c r="A138" t="s">
        <v>16</v>
      </c>
      <c r="B138" t="s">
        <v>133</v>
      </c>
      <c r="C138" s="4">
        <v>5.6418862708503383E-3</v>
      </c>
      <c r="D138" t="s">
        <v>270</v>
      </c>
      <c r="E138" t="s">
        <v>264</v>
      </c>
      <c r="F138" t="s">
        <v>265</v>
      </c>
      <c r="G138" t="s">
        <v>262</v>
      </c>
    </row>
    <row r="139" spans="1:7" hidden="1" x14ac:dyDescent="0.2">
      <c r="A139" t="s">
        <v>266</v>
      </c>
      <c r="B139" t="s">
        <v>134</v>
      </c>
      <c r="D139" t="s">
        <v>270</v>
      </c>
      <c r="E139" t="s">
        <v>268</v>
      </c>
      <c r="F139" t="s">
        <v>269</v>
      </c>
      <c r="G139" t="s">
        <v>262</v>
      </c>
    </row>
    <row r="140" spans="1:7" hidden="1" x14ac:dyDescent="0.2">
      <c r="A140" t="s">
        <v>16</v>
      </c>
      <c r="B140" t="s">
        <v>134</v>
      </c>
      <c r="C140" s="4">
        <v>1.0053493376911729E-2</v>
      </c>
      <c r="D140" t="s">
        <v>270</v>
      </c>
      <c r="E140" t="s">
        <v>264</v>
      </c>
      <c r="F140" t="s">
        <v>265</v>
      </c>
      <c r="G140" t="s">
        <v>262</v>
      </c>
    </row>
    <row r="141" spans="1:7" hidden="1" x14ac:dyDescent="0.2">
      <c r="A141" t="s">
        <v>266</v>
      </c>
      <c r="B141" t="s">
        <v>120</v>
      </c>
      <c r="D141" t="s">
        <v>255</v>
      </c>
      <c r="E141" t="s">
        <v>268</v>
      </c>
      <c r="F141" t="s">
        <v>269</v>
      </c>
      <c r="G141" t="s">
        <v>262</v>
      </c>
    </row>
    <row r="142" spans="1:7" hidden="1" x14ac:dyDescent="0.2">
      <c r="A142" t="s">
        <v>16</v>
      </c>
      <c r="B142" t="s">
        <v>120</v>
      </c>
      <c r="C142" s="4">
        <v>4.3802784820772172E-3</v>
      </c>
      <c r="D142" t="s">
        <v>255</v>
      </c>
      <c r="E142" t="s">
        <v>264</v>
      </c>
      <c r="F142" t="s">
        <v>265</v>
      </c>
      <c r="G142" t="s">
        <v>262</v>
      </c>
    </row>
    <row r="143" spans="1:7" hidden="1" x14ac:dyDescent="0.2">
      <c r="A143" t="s">
        <v>266</v>
      </c>
      <c r="B143" t="s">
        <v>107</v>
      </c>
      <c r="D143" t="s">
        <v>251</v>
      </c>
      <c r="E143" t="s">
        <v>268</v>
      </c>
      <c r="F143" t="s">
        <v>269</v>
      </c>
      <c r="G143" t="s">
        <v>262</v>
      </c>
    </row>
    <row r="144" spans="1:7" hidden="1" x14ac:dyDescent="0.2">
      <c r="A144" t="s">
        <v>16</v>
      </c>
      <c r="B144" t="s">
        <v>107</v>
      </c>
      <c r="C144" s="4">
        <v>5.6313232679203323E-2</v>
      </c>
      <c r="D144" t="s">
        <v>251</v>
      </c>
      <c r="E144" t="s">
        <v>264</v>
      </c>
      <c r="F144" t="s">
        <v>265</v>
      </c>
      <c r="G144" t="s">
        <v>262</v>
      </c>
    </row>
    <row r="145" spans="1:7" hidden="1" x14ac:dyDescent="0.2">
      <c r="A145" t="s">
        <v>266</v>
      </c>
      <c r="B145" t="s">
        <v>108</v>
      </c>
      <c r="D145" t="s">
        <v>270</v>
      </c>
      <c r="E145" t="s">
        <v>268</v>
      </c>
      <c r="F145" t="s">
        <v>269</v>
      </c>
      <c r="G145" t="s">
        <v>262</v>
      </c>
    </row>
    <row r="146" spans="1:7" hidden="1" x14ac:dyDescent="0.2">
      <c r="A146" t="s">
        <v>16</v>
      </c>
      <c r="B146" t="s">
        <v>108</v>
      </c>
      <c r="C146" s="4">
        <v>1.498567944178506E-2</v>
      </c>
      <c r="D146" t="s">
        <v>270</v>
      </c>
      <c r="E146" t="s">
        <v>264</v>
      </c>
      <c r="F146" t="s">
        <v>265</v>
      </c>
      <c r="G146" t="s">
        <v>262</v>
      </c>
    </row>
    <row r="147" spans="1:7" hidden="1" x14ac:dyDescent="0.2">
      <c r="A147" t="s">
        <v>266</v>
      </c>
      <c r="B147" t="s">
        <v>135</v>
      </c>
      <c r="D147" t="s">
        <v>255</v>
      </c>
      <c r="E147" t="s">
        <v>268</v>
      </c>
      <c r="F147" t="s">
        <v>269</v>
      </c>
      <c r="G147" t="s">
        <v>262</v>
      </c>
    </row>
    <row r="148" spans="1:7" hidden="1" x14ac:dyDescent="0.2">
      <c r="A148" t="s">
        <v>16</v>
      </c>
      <c r="B148" t="s">
        <v>135</v>
      </c>
      <c r="C148" s="4">
        <v>2.6030470255725491E-3</v>
      </c>
      <c r="D148" t="s">
        <v>255</v>
      </c>
      <c r="E148" t="s">
        <v>264</v>
      </c>
      <c r="F148" t="s">
        <v>265</v>
      </c>
      <c r="G148" t="s">
        <v>262</v>
      </c>
    </row>
    <row r="149" spans="1:7" hidden="1" x14ac:dyDescent="0.2">
      <c r="A149" t="s">
        <v>266</v>
      </c>
      <c r="B149" t="s">
        <v>136</v>
      </c>
      <c r="D149" t="s">
        <v>255</v>
      </c>
      <c r="E149" t="s">
        <v>268</v>
      </c>
      <c r="F149" t="s">
        <v>269</v>
      </c>
      <c r="G149" t="s">
        <v>262</v>
      </c>
    </row>
    <row r="150" spans="1:7" hidden="1" x14ac:dyDescent="0.2">
      <c r="A150" t="s">
        <v>16</v>
      </c>
      <c r="B150" t="s">
        <v>136</v>
      </c>
      <c r="C150" s="4">
        <v>9.9812610774638907E-4</v>
      </c>
      <c r="D150" t="s">
        <v>255</v>
      </c>
      <c r="E150" t="s">
        <v>264</v>
      </c>
      <c r="F150" t="s">
        <v>265</v>
      </c>
      <c r="G150" t="s">
        <v>262</v>
      </c>
    </row>
    <row r="151" spans="1:7" hidden="1" x14ac:dyDescent="0.2">
      <c r="A151" t="s">
        <v>266</v>
      </c>
      <c r="B151" t="s">
        <v>137</v>
      </c>
      <c r="D151" t="s">
        <v>272</v>
      </c>
      <c r="E151" t="s">
        <v>268</v>
      </c>
      <c r="F151" t="s">
        <v>269</v>
      </c>
      <c r="G151" t="s">
        <v>262</v>
      </c>
    </row>
    <row r="152" spans="1:7" hidden="1" x14ac:dyDescent="0.2">
      <c r="A152" t="s">
        <v>16</v>
      </c>
      <c r="B152" t="s">
        <v>137</v>
      </c>
      <c r="C152" s="4">
        <v>1.1116007201047639E-2</v>
      </c>
      <c r="D152" t="s">
        <v>272</v>
      </c>
      <c r="E152" t="s">
        <v>264</v>
      </c>
      <c r="F152" t="s">
        <v>265</v>
      </c>
      <c r="G152" t="s">
        <v>262</v>
      </c>
    </row>
    <row r="153" spans="1:7" hidden="1" x14ac:dyDescent="0.2">
      <c r="A153" t="s">
        <v>266</v>
      </c>
      <c r="B153" t="s">
        <v>121</v>
      </c>
      <c r="D153" t="s">
        <v>255</v>
      </c>
      <c r="E153" t="s">
        <v>268</v>
      </c>
      <c r="F153" t="s">
        <v>269</v>
      </c>
      <c r="G153" t="s">
        <v>262</v>
      </c>
    </row>
    <row r="154" spans="1:7" hidden="1" x14ac:dyDescent="0.2">
      <c r="A154" t="s">
        <v>16</v>
      </c>
      <c r="B154" t="s">
        <v>121</v>
      </c>
      <c r="C154" s="4">
        <v>4.1009305492965024E-3</v>
      </c>
      <c r="D154" t="s">
        <v>255</v>
      </c>
      <c r="E154" t="s">
        <v>264</v>
      </c>
      <c r="F154" t="s">
        <v>265</v>
      </c>
      <c r="G154" t="s">
        <v>262</v>
      </c>
    </row>
    <row r="155" spans="1:7" hidden="1" x14ac:dyDescent="0.2">
      <c r="A155" t="s">
        <v>266</v>
      </c>
      <c r="B155" t="s">
        <v>138</v>
      </c>
      <c r="D155" t="s">
        <v>255</v>
      </c>
      <c r="E155" t="s">
        <v>268</v>
      </c>
      <c r="F155" t="s">
        <v>269</v>
      </c>
      <c r="G155" t="s">
        <v>262</v>
      </c>
    </row>
    <row r="156" spans="1:7" hidden="1" x14ac:dyDescent="0.2">
      <c r="A156" t="s">
        <v>16</v>
      </c>
      <c r="B156" t="s">
        <v>138</v>
      </c>
      <c r="C156" s="4">
        <v>1.892020230698159E-3</v>
      </c>
      <c r="D156" t="s">
        <v>255</v>
      </c>
      <c r="E156" t="s">
        <v>264</v>
      </c>
      <c r="F156" t="s">
        <v>265</v>
      </c>
      <c r="G156" t="s">
        <v>262</v>
      </c>
    </row>
    <row r="157" spans="1:7" hidden="1" x14ac:dyDescent="0.2">
      <c r="A157" t="s">
        <v>266</v>
      </c>
      <c r="B157" t="s">
        <v>139</v>
      </c>
      <c r="D157" t="s">
        <v>258</v>
      </c>
      <c r="E157" t="s">
        <v>268</v>
      </c>
      <c r="F157" t="s">
        <v>269</v>
      </c>
      <c r="G157" t="s">
        <v>262</v>
      </c>
    </row>
    <row r="158" spans="1:7" hidden="1" x14ac:dyDescent="0.2">
      <c r="A158" t="s">
        <v>16</v>
      </c>
      <c r="B158" t="s">
        <v>139</v>
      </c>
      <c r="C158" s="4">
        <v>1.3815662208711799E-3</v>
      </c>
      <c r="D158" t="s">
        <v>258</v>
      </c>
      <c r="E158" t="s">
        <v>264</v>
      </c>
      <c r="F158" t="s">
        <v>265</v>
      </c>
      <c r="G158" t="s">
        <v>262</v>
      </c>
    </row>
    <row r="159" spans="1:7" hidden="1" x14ac:dyDescent="0.2">
      <c r="A159" t="s">
        <v>266</v>
      </c>
      <c r="B159" t="s">
        <v>112</v>
      </c>
      <c r="D159" t="s">
        <v>258</v>
      </c>
      <c r="E159" t="s">
        <v>268</v>
      </c>
      <c r="F159" t="s">
        <v>269</v>
      </c>
      <c r="G159" t="s">
        <v>262</v>
      </c>
    </row>
    <row r="160" spans="1:7" hidden="1" x14ac:dyDescent="0.2">
      <c r="A160" t="s">
        <v>16</v>
      </c>
      <c r="B160" t="s">
        <v>112</v>
      </c>
      <c r="C160" s="4">
        <v>1.200764891896286E-3</v>
      </c>
      <c r="D160" t="s">
        <v>258</v>
      </c>
      <c r="E160" t="s">
        <v>264</v>
      </c>
      <c r="F160" t="s">
        <v>265</v>
      </c>
      <c r="G160" t="s">
        <v>262</v>
      </c>
    </row>
    <row r="161" spans="1:8" hidden="1" x14ac:dyDescent="0.2">
      <c r="A161" t="s">
        <v>266</v>
      </c>
      <c r="B161" t="s">
        <v>113</v>
      </c>
      <c r="D161" t="s">
        <v>271</v>
      </c>
      <c r="E161" t="s">
        <v>268</v>
      </c>
      <c r="F161" t="s">
        <v>269</v>
      </c>
      <c r="G161" t="s">
        <v>262</v>
      </c>
    </row>
    <row r="162" spans="1:8" hidden="1" x14ac:dyDescent="0.2">
      <c r="A162" t="s">
        <v>16</v>
      </c>
      <c r="B162" t="s">
        <v>113</v>
      </c>
      <c r="C162" s="4">
        <v>1.4601894477682261E-2</v>
      </c>
      <c r="D162" t="s">
        <v>271</v>
      </c>
      <c r="E162" t="s">
        <v>264</v>
      </c>
      <c r="F162" t="s">
        <v>265</v>
      </c>
      <c r="G162" t="s">
        <v>262</v>
      </c>
    </row>
    <row r="163" spans="1:8" hidden="1" x14ac:dyDescent="0.2">
      <c r="A163" t="s">
        <v>266</v>
      </c>
      <c r="B163" t="s">
        <v>123</v>
      </c>
      <c r="D163" t="s">
        <v>270</v>
      </c>
      <c r="E163" t="s">
        <v>268</v>
      </c>
      <c r="F163" t="s">
        <v>269</v>
      </c>
      <c r="G163" t="s">
        <v>262</v>
      </c>
    </row>
    <row r="164" spans="1:8" hidden="1" x14ac:dyDescent="0.2">
      <c r="A164" t="s">
        <v>16</v>
      </c>
      <c r="B164" t="s">
        <v>123</v>
      </c>
      <c r="C164" s="4">
        <v>4.0077275822670358E-2</v>
      </c>
      <c r="D164" t="s">
        <v>270</v>
      </c>
      <c r="E164" t="s">
        <v>264</v>
      </c>
      <c r="F164" t="s">
        <v>265</v>
      </c>
      <c r="G164" t="s">
        <v>262</v>
      </c>
    </row>
    <row r="165" spans="1:8" hidden="1" x14ac:dyDescent="0.2">
      <c r="A165" t="s">
        <v>266</v>
      </c>
      <c r="B165" t="s">
        <v>140</v>
      </c>
      <c r="D165" t="s">
        <v>255</v>
      </c>
      <c r="E165" t="s">
        <v>268</v>
      </c>
      <c r="F165" t="s">
        <v>269</v>
      </c>
      <c r="G165" t="s">
        <v>262</v>
      </c>
    </row>
    <row r="166" spans="1:8" hidden="1" x14ac:dyDescent="0.2">
      <c r="A166" t="s">
        <v>16</v>
      </c>
      <c r="B166" t="s">
        <v>140</v>
      </c>
      <c r="C166" s="4">
        <v>6.371075217233204E-4</v>
      </c>
      <c r="D166" t="s">
        <v>255</v>
      </c>
      <c r="E166" t="s">
        <v>264</v>
      </c>
      <c r="F166" t="s">
        <v>265</v>
      </c>
      <c r="G166" t="s">
        <v>262</v>
      </c>
    </row>
    <row r="167" spans="1:8" hidden="1" x14ac:dyDescent="0.2">
      <c r="A167" t="s">
        <v>266</v>
      </c>
      <c r="B167" t="s">
        <v>114</v>
      </c>
      <c r="D167" t="s">
        <v>252</v>
      </c>
      <c r="E167" t="s">
        <v>268</v>
      </c>
      <c r="F167" t="s">
        <v>269</v>
      </c>
      <c r="G167" t="s">
        <v>262</v>
      </c>
    </row>
    <row r="168" spans="1:8" hidden="1" x14ac:dyDescent="0.2">
      <c r="A168" t="s">
        <v>16</v>
      </c>
      <c r="B168" t="s">
        <v>114</v>
      </c>
      <c r="C168" s="4">
        <v>8.0465228202105602E-4</v>
      </c>
      <c r="D168" t="s">
        <v>252</v>
      </c>
      <c r="E168" t="s">
        <v>264</v>
      </c>
      <c r="F168" t="s">
        <v>265</v>
      </c>
      <c r="G168" t="s">
        <v>262</v>
      </c>
    </row>
    <row r="169" spans="1:8" hidden="1" x14ac:dyDescent="0.2">
      <c r="A169" t="s">
        <v>276</v>
      </c>
      <c r="B169" t="s">
        <v>86</v>
      </c>
      <c r="D169" t="s">
        <v>256</v>
      </c>
      <c r="E169" t="s">
        <v>278</v>
      </c>
      <c r="F169" t="s">
        <v>276</v>
      </c>
      <c r="G169" t="s">
        <v>245</v>
      </c>
    </row>
    <row r="170" spans="1:8" hidden="1" x14ac:dyDescent="0.2">
      <c r="A170" t="s">
        <v>17</v>
      </c>
      <c r="B170" t="s">
        <v>86</v>
      </c>
      <c r="C170" s="4">
        <v>0.26436197254702593</v>
      </c>
      <c r="D170" t="s">
        <v>256</v>
      </c>
      <c r="E170" t="s">
        <v>273</v>
      </c>
      <c r="F170" t="s">
        <v>274</v>
      </c>
      <c r="G170" t="s">
        <v>245</v>
      </c>
      <c r="H170" t="s">
        <v>275</v>
      </c>
    </row>
    <row r="171" spans="1:8" hidden="1" x14ac:dyDescent="0.2">
      <c r="A171" t="s">
        <v>276</v>
      </c>
      <c r="B171" t="s">
        <v>141</v>
      </c>
      <c r="D171" t="s">
        <v>256</v>
      </c>
      <c r="E171" t="s">
        <v>278</v>
      </c>
      <c r="F171" t="s">
        <v>276</v>
      </c>
      <c r="G171" t="s">
        <v>245</v>
      </c>
    </row>
    <row r="172" spans="1:8" hidden="1" x14ac:dyDescent="0.2">
      <c r="A172" t="s">
        <v>17</v>
      </c>
      <c r="B172" t="s">
        <v>141</v>
      </c>
      <c r="C172" s="4">
        <v>2.7114048466361628E-3</v>
      </c>
      <c r="D172" t="s">
        <v>256</v>
      </c>
      <c r="E172" t="s">
        <v>273</v>
      </c>
      <c r="F172" t="s">
        <v>274</v>
      </c>
      <c r="G172" t="s">
        <v>245</v>
      </c>
    </row>
    <row r="173" spans="1:8" hidden="1" x14ac:dyDescent="0.2">
      <c r="A173" t="s">
        <v>276</v>
      </c>
      <c r="B173" t="s">
        <v>105</v>
      </c>
      <c r="D173" t="s">
        <v>256</v>
      </c>
      <c r="E173" t="s">
        <v>278</v>
      </c>
      <c r="F173" t="s">
        <v>276</v>
      </c>
      <c r="G173" t="s">
        <v>245</v>
      </c>
    </row>
    <row r="174" spans="1:8" hidden="1" x14ac:dyDescent="0.2">
      <c r="A174" t="s">
        <v>17</v>
      </c>
      <c r="B174" t="s">
        <v>105</v>
      </c>
      <c r="C174" s="4">
        <v>3.1316725978647687E-2</v>
      </c>
      <c r="D174" t="s">
        <v>256</v>
      </c>
      <c r="E174" t="s">
        <v>273</v>
      </c>
      <c r="F174" t="s">
        <v>274</v>
      </c>
      <c r="G174" t="s">
        <v>245</v>
      </c>
    </row>
    <row r="175" spans="1:8" hidden="1" x14ac:dyDescent="0.2">
      <c r="A175" t="s">
        <v>276</v>
      </c>
      <c r="B175" t="s">
        <v>113</v>
      </c>
      <c r="D175" t="s">
        <v>277</v>
      </c>
      <c r="E175" t="s">
        <v>278</v>
      </c>
      <c r="F175" t="s">
        <v>276</v>
      </c>
      <c r="G175" t="s">
        <v>245</v>
      </c>
    </row>
    <row r="176" spans="1:8" hidden="1" x14ac:dyDescent="0.2">
      <c r="A176" t="s">
        <v>17</v>
      </c>
      <c r="B176" t="s">
        <v>113</v>
      </c>
      <c r="C176" s="4">
        <v>0.68700220301643788</v>
      </c>
      <c r="D176" t="s">
        <v>277</v>
      </c>
      <c r="E176" t="s">
        <v>273</v>
      </c>
      <c r="F176" t="s">
        <v>274</v>
      </c>
      <c r="G176" t="s">
        <v>245</v>
      </c>
    </row>
    <row r="177" spans="1:8" hidden="1" x14ac:dyDescent="0.2">
      <c r="A177" t="s">
        <v>276</v>
      </c>
      <c r="B177" t="s">
        <v>142</v>
      </c>
      <c r="D177" t="s">
        <v>256</v>
      </c>
      <c r="E177" t="s">
        <v>278</v>
      </c>
      <c r="F177" t="s">
        <v>276</v>
      </c>
      <c r="G177" t="s">
        <v>245</v>
      </c>
    </row>
    <row r="178" spans="1:8" hidden="1" x14ac:dyDescent="0.2">
      <c r="A178" t="s">
        <v>17</v>
      </c>
      <c r="B178" t="s">
        <v>142</v>
      </c>
      <c r="C178" s="4">
        <v>1.372648703609558E-2</v>
      </c>
      <c r="D178" t="s">
        <v>256</v>
      </c>
      <c r="E178" t="s">
        <v>273</v>
      </c>
      <c r="F178" t="s">
        <v>274</v>
      </c>
      <c r="G178" t="s">
        <v>245</v>
      </c>
    </row>
    <row r="179" spans="1:8" hidden="1" x14ac:dyDescent="0.2">
      <c r="A179" t="s">
        <v>276</v>
      </c>
      <c r="B179" t="s">
        <v>143</v>
      </c>
      <c r="D179" t="s">
        <v>256</v>
      </c>
      <c r="E179" t="s">
        <v>278</v>
      </c>
      <c r="F179" t="s">
        <v>276</v>
      </c>
      <c r="G179" t="s">
        <v>245</v>
      </c>
    </row>
    <row r="180" spans="1:8" hidden="1" x14ac:dyDescent="0.2">
      <c r="A180" t="s">
        <v>17</v>
      </c>
      <c r="B180" t="s">
        <v>143</v>
      </c>
      <c r="C180" s="4">
        <v>8.8120657515675311E-4</v>
      </c>
      <c r="D180" t="s">
        <v>256</v>
      </c>
      <c r="E180" t="s">
        <v>273</v>
      </c>
      <c r="F180" t="s">
        <v>274</v>
      </c>
      <c r="G180" t="s">
        <v>245</v>
      </c>
    </row>
    <row r="181" spans="1:8" hidden="1" x14ac:dyDescent="0.2">
      <c r="A181" t="s">
        <v>18</v>
      </c>
      <c r="B181" t="s">
        <v>124</v>
      </c>
      <c r="C181" s="4">
        <v>1.7570686145995659E-2</v>
      </c>
      <c r="G181" t="s">
        <v>279</v>
      </c>
    </row>
    <row r="182" spans="1:8" hidden="1" x14ac:dyDescent="0.2">
      <c r="A182" t="s">
        <v>18</v>
      </c>
      <c r="B182" t="s">
        <v>144</v>
      </c>
      <c r="C182" s="4">
        <v>3.3682321998821839E-2</v>
      </c>
      <c r="G182" t="s">
        <v>279</v>
      </c>
    </row>
    <row r="183" spans="1:8" hidden="1" x14ac:dyDescent="0.2">
      <c r="A183" t="s">
        <v>18</v>
      </c>
      <c r="B183" t="s">
        <v>145</v>
      </c>
      <c r="C183" s="4">
        <v>5.4508900092825469E-2</v>
      </c>
      <c r="G183" t="s">
        <v>279</v>
      </c>
    </row>
    <row r="184" spans="1:8" hidden="1" x14ac:dyDescent="0.2">
      <c r="A184" t="s">
        <v>18</v>
      </c>
      <c r="B184" t="s">
        <v>86</v>
      </c>
      <c r="C184" s="4">
        <v>3.1339788153885689E-2</v>
      </c>
      <c r="G184" t="s">
        <v>279</v>
      </c>
    </row>
    <row r="185" spans="1:8" hidden="1" x14ac:dyDescent="0.2">
      <c r="A185" t="s">
        <v>18</v>
      </c>
      <c r="B185" t="s">
        <v>99</v>
      </c>
      <c r="C185" s="4">
        <v>2.0266396339512741E-4</v>
      </c>
      <c r="G185" t="s">
        <v>279</v>
      </c>
    </row>
    <row r="186" spans="1:8" hidden="1" x14ac:dyDescent="0.2">
      <c r="A186" t="s">
        <v>18</v>
      </c>
      <c r="B186" t="s">
        <v>102</v>
      </c>
      <c r="C186" s="4">
        <v>6.7835039294124863E-2</v>
      </c>
      <c r="G186" t="s">
        <v>279</v>
      </c>
    </row>
    <row r="187" spans="1:8" hidden="1" x14ac:dyDescent="0.2">
      <c r="A187" t="s">
        <v>18</v>
      </c>
      <c r="B187" t="s">
        <v>146</v>
      </c>
      <c r="C187" s="4">
        <v>1.3612240263026289E-2</v>
      </c>
      <c r="G187" t="s">
        <v>279</v>
      </c>
    </row>
    <row r="188" spans="1:8" hidden="1" x14ac:dyDescent="0.2">
      <c r="A188" t="s">
        <v>18</v>
      </c>
      <c r="B188" t="s">
        <v>107</v>
      </c>
      <c r="C188" s="4">
        <v>1.071793620847173E-2</v>
      </c>
      <c r="G188" t="s">
        <v>279</v>
      </c>
    </row>
    <row r="189" spans="1:8" hidden="1" x14ac:dyDescent="0.2">
      <c r="A189" t="s">
        <v>18</v>
      </c>
      <c r="B189" t="s">
        <v>112</v>
      </c>
      <c r="C189" s="4">
        <v>0.59415932171472874</v>
      </c>
      <c r="G189" t="s">
        <v>279</v>
      </c>
    </row>
    <row r="190" spans="1:8" hidden="1" x14ac:dyDescent="0.2">
      <c r="A190" t="s">
        <v>18</v>
      </c>
      <c r="B190" t="s">
        <v>113</v>
      </c>
      <c r="C190" s="4">
        <v>0.17637110216472471</v>
      </c>
      <c r="G190" t="s">
        <v>279</v>
      </c>
    </row>
    <row r="191" spans="1:8" hidden="1" x14ac:dyDescent="0.2">
      <c r="A191" t="s">
        <v>19</v>
      </c>
      <c r="B191" t="s">
        <v>124</v>
      </c>
      <c r="C191" s="4">
        <f>0.3* 0.268733689573754%</f>
        <v>8.0620106872126196E-4</v>
      </c>
      <c r="D191" t="s">
        <v>256</v>
      </c>
      <c r="E191" t="s">
        <v>283</v>
      </c>
      <c r="F191" t="s">
        <v>282</v>
      </c>
      <c r="G191" t="s">
        <v>245</v>
      </c>
      <c r="H191" t="s">
        <v>284</v>
      </c>
    </row>
    <row r="192" spans="1:8" hidden="1" x14ac:dyDescent="0.2">
      <c r="A192" t="s">
        <v>19</v>
      </c>
      <c r="B192" t="s">
        <v>124</v>
      </c>
      <c r="C192" s="4">
        <f xml:space="preserve"> 0.7* 0.268733689573754%</f>
        <v>1.8811358270162779E-3</v>
      </c>
      <c r="D192" t="s">
        <v>256</v>
      </c>
      <c r="E192" t="s">
        <v>281</v>
      </c>
      <c r="F192" t="s">
        <v>282</v>
      </c>
      <c r="G192" t="s">
        <v>245</v>
      </c>
      <c r="H192" t="s">
        <v>280</v>
      </c>
    </row>
    <row r="193" spans="1:7" hidden="1" x14ac:dyDescent="0.2">
      <c r="A193" t="s">
        <v>19</v>
      </c>
      <c r="B193" t="s">
        <v>85</v>
      </c>
      <c r="C193" s="4">
        <f>0.3*0.769696781409221%</f>
        <v>2.3090903442276631E-3</v>
      </c>
      <c r="D193" t="s">
        <v>256</v>
      </c>
      <c r="E193" t="s">
        <v>283</v>
      </c>
      <c r="F193" t="s">
        <v>282</v>
      </c>
      <c r="G193" t="s">
        <v>245</v>
      </c>
    </row>
    <row r="194" spans="1:7" hidden="1" x14ac:dyDescent="0.2">
      <c r="A194" t="s">
        <v>19</v>
      </c>
      <c r="B194" t="s">
        <v>85</v>
      </c>
      <c r="C194" s="4">
        <f xml:space="preserve"> 0.7*0.769696781409221%</f>
        <v>5.3878774698645467E-3</v>
      </c>
      <c r="D194" t="s">
        <v>256</v>
      </c>
      <c r="E194" t="s">
        <v>281</v>
      </c>
      <c r="F194" t="s">
        <v>282</v>
      </c>
      <c r="G194" t="s">
        <v>245</v>
      </c>
    </row>
    <row r="195" spans="1:7" hidden="1" x14ac:dyDescent="0.2">
      <c r="A195" t="s">
        <v>19</v>
      </c>
      <c r="B195" t="s">
        <v>147</v>
      </c>
      <c r="C195" s="4">
        <f>0.3*1.23570895986082%</f>
        <v>3.7071268795824596E-3</v>
      </c>
      <c r="D195" t="s">
        <v>256</v>
      </c>
      <c r="E195" t="s">
        <v>283</v>
      </c>
      <c r="F195" t="s">
        <v>282</v>
      </c>
      <c r="G195" t="s">
        <v>245</v>
      </c>
    </row>
    <row r="196" spans="1:7" hidden="1" x14ac:dyDescent="0.2">
      <c r="A196" t="s">
        <v>19</v>
      </c>
      <c r="B196" t="s">
        <v>147</v>
      </c>
      <c r="C196" s="4">
        <f xml:space="preserve"> 0.7*1.23570895986082%</f>
        <v>8.6499627190257389E-3</v>
      </c>
      <c r="D196" t="s">
        <v>256</v>
      </c>
      <c r="E196" t="s">
        <v>281</v>
      </c>
      <c r="F196" t="s">
        <v>282</v>
      </c>
      <c r="G196" t="s">
        <v>245</v>
      </c>
    </row>
    <row r="197" spans="1:7" hidden="1" x14ac:dyDescent="0.2">
      <c r="A197" t="s">
        <v>19</v>
      </c>
      <c r="B197" t="s">
        <v>116</v>
      </c>
      <c r="C197" s="4">
        <f>0.3*5.74903690816453%</f>
        <v>1.7247110724493586E-2</v>
      </c>
      <c r="D197" t="s">
        <v>289</v>
      </c>
      <c r="E197" t="s">
        <v>283</v>
      </c>
      <c r="F197" t="s">
        <v>282</v>
      </c>
      <c r="G197" t="s">
        <v>245</v>
      </c>
    </row>
    <row r="198" spans="1:7" hidden="1" x14ac:dyDescent="0.2">
      <c r="A198" t="s">
        <v>19</v>
      </c>
      <c r="B198" t="s">
        <v>116</v>
      </c>
      <c r="C198" s="4">
        <f xml:space="preserve"> 0.7*5.74903690816453%</f>
        <v>4.0243258357151701E-2</v>
      </c>
      <c r="D198" t="s">
        <v>256</v>
      </c>
      <c r="E198" t="s">
        <v>281</v>
      </c>
      <c r="F198" t="s">
        <v>282</v>
      </c>
      <c r="G198" t="s">
        <v>245</v>
      </c>
    </row>
    <row r="199" spans="1:7" hidden="1" x14ac:dyDescent="0.2">
      <c r="A199" t="s">
        <v>19</v>
      </c>
      <c r="B199" t="s">
        <v>86</v>
      </c>
      <c r="C199" s="4">
        <f>0.3*5.74903690816453%</f>
        <v>1.7247110724493586E-2</v>
      </c>
      <c r="D199" t="s">
        <v>256</v>
      </c>
      <c r="E199" t="s">
        <v>283</v>
      </c>
      <c r="F199" t="s">
        <v>282</v>
      </c>
      <c r="G199" t="s">
        <v>245</v>
      </c>
    </row>
    <row r="200" spans="1:7" hidden="1" x14ac:dyDescent="0.2">
      <c r="A200" t="s">
        <v>19</v>
      </c>
      <c r="B200" t="s">
        <v>86</v>
      </c>
      <c r="C200" s="4">
        <f xml:space="preserve"> 0.7*38.6083322977507%</f>
        <v>0.27025832608425487</v>
      </c>
      <c r="D200" t="s">
        <v>256</v>
      </c>
      <c r="E200" t="s">
        <v>281</v>
      </c>
      <c r="F200" t="s">
        <v>282</v>
      </c>
      <c r="G200" t="s">
        <v>245</v>
      </c>
    </row>
    <row r="201" spans="1:7" hidden="1" x14ac:dyDescent="0.2">
      <c r="A201" t="s">
        <v>19</v>
      </c>
      <c r="B201" t="s">
        <v>117</v>
      </c>
      <c r="C201" s="4">
        <f>0.3*1.78638001739779%</f>
        <v>5.3591400521933704E-3</v>
      </c>
      <c r="D201" t="s">
        <v>256</v>
      </c>
      <c r="E201" t="s">
        <v>283</v>
      </c>
      <c r="F201" t="s">
        <v>282</v>
      </c>
      <c r="G201" t="s">
        <v>245</v>
      </c>
    </row>
    <row r="202" spans="1:7" hidden="1" x14ac:dyDescent="0.2">
      <c r="A202" t="s">
        <v>19</v>
      </c>
      <c r="B202" t="s">
        <v>117</v>
      </c>
      <c r="C202" s="4">
        <f xml:space="preserve"> 0.7*1.78638001739779%</f>
        <v>1.2504660121784529E-2</v>
      </c>
      <c r="D202" t="s">
        <v>256</v>
      </c>
      <c r="E202" t="s">
        <v>281</v>
      </c>
      <c r="F202" t="s">
        <v>282</v>
      </c>
      <c r="G202" t="s">
        <v>245</v>
      </c>
    </row>
    <row r="203" spans="1:7" hidden="1" x14ac:dyDescent="0.2">
      <c r="A203" t="s">
        <v>19</v>
      </c>
      <c r="B203" t="s">
        <v>97</v>
      </c>
      <c r="C203" s="4">
        <f>0.3*0.0365042873120417%</f>
        <v>1.095128619361251E-4</v>
      </c>
      <c r="D203" t="s">
        <v>256</v>
      </c>
      <c r="E203" t="s">
        <v>283</v>
      </c>
      <c r="F203" t="s">
        <v>282</v>
      </c>
      <c r="G203" t="s">
        <v>245</v>
      </c>
    </row>
    <row r="204" spans="1:7" hidden="1" x14ac:dyDescent="0.2">
      <c r="A204" t="s">
        <v>19</v>
      </c>
      <c r="B204" t="s">
        <v>97</v>
      </c>
      <c r="C204" s="4">
        <f xml:space="preserve"> 0.7*0.0365042873120417%</f>
        <v>2.555300111842919E-4</v>
      </c>
      <c r="D204" t="s">
        <v>256</v>
      </c>
      <c r="E204" t="s">
        <v>281</v>
      </c>
      <c r="F204" t="s">
        <v>282</v>
      </c>
      <c r="G204" t="s">
        <v>245</v>
      </c>
    </row>
    <row r="205" spans="1:7" hidden="1" x14ac:dyDescent="0.2">
      <c r="A205" t="s">
        <v>19</v>
      </c>
      <c r="B205" t="s">
        <v>119</v>
      </c>
      <c r="C205" s="4">
        <f>0.3*7.69075431837952%</f>
        <v>2.3072262955138558E-2</v>
      </c>
      <c r="D205" t="s">
        <v>256</v>
      </c>
      <c r="E205" t="s">
        <v>283</v>
      </c>
      <c r="F205" t="s">
        <v>282</v>
      </c>
      <c r="G205" t="s">
        <v>245</v>
      </c>
    </row>
    <row r="206" spans="1:7" hidden="1" x14ac:dyDescent="0.2">
      <c r="A206" t="s">
        <v>19</v>
      </c>
      <c r="B206" t="s">
        <v>119</v>
      </c>
      <c r="C206" s="4">
        <f xml:space="preserve"> 0.7*7.69075431837952%</f>
        <v>5.3835280228656635E-2</v>
      </c>
      <c r="D206" t="s">
        <v>256</v>
      </c>
      <c r="E206" t="s">
        <v>281</v>
      </c>
      <c r="F206" t="s">
        <v>282</v>
      </c>
      <c r="G206" t="s">
        <v>245</v>
      </c>
    </row>
    <row r="207" spans="1:7" hidden="1" x14ac:dyDescent="0.2">
      <c r="A207" t="s">
        <v>19</v>
      </c>
      <c r="B207" t="s">
        <v>102</v>
      </c>
      <c r="C207" s="4">
        <f>0.3*5.74748353423636%</f>
        <v>1.724245060270908E-2</v>
      </c>
      <c r="D207" t="s">
        <v>256</v>
      </c>
      <c r="E207" t="s">
        <v>283</v>
      </c>
      <c r="F207" t="s">
        <v>282</v>
      </c>
      <c r="G207" t="s">
        <v>245</v>
      </c>
    </row>
    <row r="208" spans="1:7" hidden="1" x14ac:dyDescent="0.2">
      <c r="A208" t="s">
        <v>19</v>
      </c>
      <c r="B208" t="s">
        <v>102</v>
      </c>
      <c r="C208" s="4">
        <f xml:space="preserve"> 0.7*5.74748353423636%</f>
        <v>4.0232384739654514E-2</v>
      </c>
      <c r="D208" t="s">
        <v>256</v>
      </c>
      <c r="E208" t="s">
        <v>281</v>
      </c>
      <c r="F208" t="s">
        <v>282</v>
      </c>
      <c r="G208" t="s">
        <v>245</v>
      </c>
    </row>
    <row r="209" spans="1:7" hidden="1" x14ac:dyDescent="0.2">
      <c r="A209" t="s">
        <v>19</v>
      </c>
      <c r="B209" t="s">
        <v>148</v>
      </c>
      <c r="C209" s="4">
        <f>0.3*17.4016714303467%</f>
        <v>5.2205014291040096E-2</v>
      </c>
      <c r="D209" t="s">
        <v>256</v>
      </c>
      <c r="E209" t="s">
        <v>283</v>
      </c>
      <c r="F209" t="s">
        <v>282</v>
      </c>
      <c r="G209" t="s">
        <v>245</v>
      </c>
    </row>
    <row r="210" spans="1:7" hidden="1" x14ac:dyDescent="0.2">
      <c r="A210" t="s">
        <v>19</v>
      </c>
      <c r="B210" t="s">
        <v>148</v>
      </c>
      <c r="C210" s="4">
        <f xml:space="preserve"> 0.7*17.4016714303467%</f>
        <v>0.12181170001242689</v>
      </c>
      <c r="D210" t="s">
        <v>256</v>
      </c>
      <c r="E210" t="s">
        <v>281</v>
      </c>
      <c r="F210" t="s">
        <v>282</v>
      </c>
      <c r="G210" t="s">
        <v>245</v>
      </c>
    </row>
    <row r="211" spans="1:7" hidden="1" x14ac:dyDescent="0.2">
      <c r="A211" t="s">
        <v>19</v>
      </c>
      <c r="B211" t="s">
        <v>149</v>
      </c>
      <c r="C211" s="4">
        <f>0.3*0.776686964085995%</f>
        <v>2.3300608922579851E-3</v>
      </c>
      <c r="D211" t="s">
        <v>256</v>
      </c>
      <c r="E211" t="s">
        <v>283</v>
      </c>
      <c r="F211" t="s">
        <v>282</v>
      </c>
      <c r="G211" t="s">
        <v>245</v>
      </c>
    </row>
    <row r="212" spans="1:7" hidden="1" x14ac:dyDescent="0.2">
      <c r="A212" t="s">
        <v>19</v>
      </c>
      <c r="B212" t="s">
        <v>149</v>
      </c>
      <c r="C212" s="4">
        <f xml:space="preserve"> 0.7*0.776686964085995%</f>
        <v>5.4368087486019647E-3</v>
      </c>
      <c r="D212" t="s">
        <v>256</v>
      </c>
      <c r="E212" t="s">
        <v>281</v>
      </c>
      <c r="F212" t="s">
        <v>282</v>
      </c>
      <c r="G212" t="s">
        <v>245</v>
      </c>
    </row>
    <row r="213" spans="1:7" hidden="1" x14ac:dyDescent="0.2">
      <c r="A213" t="s">
        <v>19</v>
      </c>
      <c r="B213" t="s">
        <v>150</v>
      </c>
      <c r="C213" s="4">
        <f>0.3*4.21741021498695%</f>
        <v>1.2652230644960851E-2</v>
      </c>
      <c r="D213" t="s">
        <v>256</v>
      </c>
      <c r="E213" t="s">
        <v>283</v>
      </c>
      <c r="F213" t="s">
        <v>282</v>
      </c>
      <c r="G213" t="s">
        <v>245</v>
      </c>
    </row>
    <row r="214" spans="1:7" hidden="1" x14ac:dyDescent="0.2">
      <c r="A214" t="s">
        <v>19</v>
      </c>
      <c r="B214" t="s">
        <v>150</v>
      </c>
      <c r="C214" s="4">
        <f xml:space="preserve"> 0.7*4.21741021498695%</f>
        <v>2.9521871504908651E-2</v>
      </c>
      <c r="D214" t="s">
        <v>256</v>
      </c>
      <c r="E214" t="s">
        <v>281</v>
      </c>
      <c r="F214" t="s">
        <v>282</v>
      </c>
      <c r="G214" t="s">
        <v>245</v>
      </c>
    </row>
    <row r="215" spans="1:7" hidden="1" x14ac:dyDescent="0.2">
      <c r="A215" t="s">
        <v>19</v>
      </c>
      <c r="B215" t="s">
        <v>130</v>
      </c>
      <c r="C215" s="4">
        <f>0.3*3.57276003479558%</f>
        <v>1.0718280104386741E-2</v>
      </c>
      <c r="D215" t="s">
        <v>256</v>
      </c>
      <c r="E215" t="s">
        <v>283</v>
      </c>
      <c r="F215" t="s">
        <v>282</v>
      </c>
      <c r="G215" t="s">
        <v>245</v>
      </c>
    </row>
    <row r="216" spans="1:7" hidden="1" x14ac:dyDescent="0.2">
      <c r="A216" t="s">
        <v>19</v>
      </c>
      <c r="B216" t="s">
        <v>130</v>
      </c>
      <c r="C216" s="4">
        <f xml:space="preserve"> 0.7*3.57276003479558%</f>
        <v>2.5009320243569059E-2</v>
      </c>
      <c r="D216" t="s">
        <v>256</v>
      </c>
      <c r="E216" t="s">
        <v>281</v>
      </c>
      <c r="F216" t="s">
        <v>282</v>
      </c>
      <c r="G216" t="s">
        <v>245</v>
      </c>
    </row>
    <row r="217" spans="1:7" hidden="1" x14ac:dyDescent="0.2">
      <c r="A217" t="s">
        <v>19</v>
      </c>
      <c r="B217" t="s">
        <v>132</v>
      </c>
      <c r="C217" s="4">
        <f>0.3*1.46483161426619%</f>
        <v>4.3944948427985693E-3</v>
      </c>
      <c r="D217" t="s">
        <v>256</v>
      </c>
      <c r="E217" t="s">
        <v>283</v>
      </c>
      <c r="F217" t="s">
        <v>282</v>
      </c>
      <c r="G217" t="s">
        <v>245</v>
      </c>
    </row>
    <row r="218" spans="1:7" hidden="1" x14ac:dyDescent="0.2">
      <c r="A218" t="s">
        <v>19</v>
      </c>
      <c r="B218" t="s">
        <v>132</v>
      </c>
      <c r="C218" s="4">
        <f xml:space="preserve"> 0.7*1.46483161426619%</f>
        <v>1.0253821299863328E-2</v>
      </c>
      <c r="D218" t="s">
        <v>256</v>
      </c>
      <c r="E218" t="s">
        <v>281</v>
      </c>
      <c r="F218" t="s">
        <v>282</v>
      </c>
      <c r="G218" t="s">
        <v>245</v>
      </c>
    </row>
    <row r="219" spans="1:7" hidden="1" x14ac:dyDescent="0.2">
      <c r="A219" t="s">
        <v>19</v>
      </c>
      <c r="B219" t="s">
        <v>146</v>
      </c>
      <c r="C219" s="4">
        <f>0.3*2.56306698148378%</f>
        <v>7.6892009444513394E-3</v>
      </c>
      <c r="D219" t="s">
        <v>256</v>
      </c>
      <c r="E219" t="s">
        <v>283</v>
      </c>
      <c r="F219" t="s">
        <v>282</v>
      </c>
      <c r="G219" t="s">
        <v>245</v>
      </c>
    </row>
    <row r="220" spans="1:7" hidden="1" x14ac:dyDescent="0.2">
      <c r="A220" t="s">
        <v>19</v>
      </c>
      <c r="B220" t="s">
        <v>146</v>
      </c>
      <c r="C220" s="4">
        <f xml:space="preserve"> 0.7*2.56306698148378%</f>
        <v>1.7941468870386459E-2</v>
      </c>
      <c r="D220" t="s">
        <v>256</v>
      </c>
      <c r="E220" t="s">
        <v>281</v>
      </c>
      <c r="F220" t="s">
        <v>282</v>
      </c>
      <c r="G220" t="s">
        <v>245</v>
      </c>
    </row>
    <row r="221" spans="1:7" hidden="1" x14ac:dyDescent="0.2">
      <c r="A221" t="s">
        <v>19</v>
      </c>
      <c r="B221" t="s">
        <v>151</v>
      </c>
      <c r="C221" s="4">
        <f>0.3*0.693581458928793%</f>
        <v>2.0807443767863788E-3</v>
      </c>
      <c r="D221" t="s">
        <v>256</v>
      </c>
      <c r="E221" t="s">
        <v>283</v>
      </c>
      <c r="F221" t="s">
        <v>282</v>
      </c>
      <c r="G221" t="s">
        <v>245</v>
      </c>
    </row>
    <row r="222" spans="1:7" hidden="1" x14ac:dyDescent="0.2">
      <c r="A222" t="s">
        <v>19</v>
      </c>
      <c r="B222" t="s">
        <v>151</v>
      </c>
      <c r="C222" s="4">
        <f xml:space="preserve"> 0.7*0.693581458928793%</f>
        <v>4.8550702125015506E-3</v>
      </c>
      <c r="D222" t="s">
        <v>256</v>
      </c>
      <c r="E222" t="s">
        <v>281</v>
      </c>
      <c r="F222" t="s">
        <v>282</v>
      </c>
      <c r="G222" t="s">
        <v>245</v>
      </c>
    </row>
    <row r="223" spans="1:7" hidden="1" x14ac:dyDescent="0.2">
      <c r="A223" t="s">
        <v>19</v>
      </c>
      <c r="B223" t="s">
        <v>107</v>
      </c>
      <c r="C223" s="4">
        <f>0.3*5.28147135578476%</f>
        <v>1.5844414067354276E-2</v>
      </c>
      <c r="D223" t="s">
        <v>256</v>
      </c>
      <c r="E223" t="s">
        <v>283</v>
      </c>
      <c r="F223" t="s">
        <v>282</v>
      </c>
      <c r="G223" t="s">
        <v>245</v>
      </c>
    </row>
    <row r="224" spans="1:7" hidden="1" x14ac:dyDescent="0.2">
      <c r="A224" t="s">
        <v>19</v>
      </c>
      <c r="B224" t="s">
        <v>107</v>
      </c>
      <c r="C224" s="4">
        <f xml:space="preserve"> 0.7*5.28147135578476%</f>
        <v>3.6970299490493311E-2</v>
      </c>
      <c r="D224" t="s">
        <v>256</v>
      </c>
      <c r="E224" t="s">
        <v>281</v>
      </c>
      <c r="F224" t="s">
        <v>282</v>
      </c>
      <c r="G224" t="s">
        <v>245</v>
      </c>
    </row>
    <row r="225" spans="1:7" hidden="1" x14ac:dyDescent="0.2">
      <c r="A225" t="s">
        <v>19</v>
      </c>
      <c r="B225" t="s">
        <v>113</v>
      </c>
      <c r="C225" s="4">
        <f>0.3*2.13588915123649%</f>
        <v>6.4076674537094707E-3</v>
      </c>
      <c r="D225" t="s">
        <v>256</v>
      </c>
      <c r="E225" t="s">
        <v>283</v>
      </c>
      <c r="F225" t="s">
        <v>282</v>
      </c>
      <c r="G225" t="s">
        <v>245</v>
      </c>
    </row>
    <row r="226" spans="1:7" hidden="1" x14ac:dyDescent="0.2">
      <c r="A226" t="s">
        <v>19</v>
      </c>
      <c r="B226" t="s">
        <v>113</v>
      </c>
      <c r="C226" s="4">
        <f xml:space="preserve"> 0.7*2.13588915123649%</f>
        <v>1.495122405865543E-2</v>
      </c>
      <c r="D226" t="s">
        <v>256</v>
      </c>
      <c r="E226" t="s">
        <v>281</v>
      </c>
      <c r="F226" t="s">
        <v>282</v>
      </c>
      <c r="G226" t="s">
        <v>245</v>
      </c>
    </row>
    <row r="227" spans="1:7" hidden="1" x14ac:dyDescent="0.2">
      <c r="A227" t="s">
        <v>20</v>
      </c>
      <c r="B227" t="s">
        <v>152</v>
      </c>
      <c r="C227" s="4">
        <v>1.2629649451162799E-4</v>
      </c>
      <c r="D227" t="s">
        <v>256</v>
      </c>
      <c r="E227" t="s">
        <v>285</v>
      </c>
      <c r="F227" t="s">
        <v>286</v>
      </c>
      <c r="G227" t="s">
        <v>245</v>
      </c>
    </row>
    <row r="228" spans="1:7" hidden="1" x14ac:dyDescent="0.2">
      <c r="A228" t="s">
        <v>20</v>
      </c>
      <c r="B228" t="s">
        <v>153</v>
      </c>
      <c r="C228" s="4">
        <v>2.5924519761167591E-2</v>
      </c>
      <c r="D228" t="s">
        <v>256</v>
      </c>
      <c r="E228" t="s">
        <v>285</v>
      </c>
      <c r="F228" t="s">
        <v>286</v>
      </c>
      <c r="G228" t="s">
        <v>245</v>
      </c>
    </row>
    <row r="229" spans="1:7" hidden="1" x14ac:dyDescent="0.2">
      <c r="A229" t="s">
        <v>20</v>
      </c>
      <c r="B229" t="s">
        <v>85</v>
      </c>
      <c r="C229" s="4">
        <v>6.2631579778266409E-3</v>
      </c>
      <c r="D229" t="s">
        <v>256</v>
      </c>
      <c r="E229" t="s">
        <v>285</v>
      </c>
      <c r="F229" t="s">
        <v>286</v>
      </c>
      <c r="G229" t="s">
        <v>245</v>
      </c>
    </row>
    <row r="230" spans="1:7" hidden="1" x14ac:dyDescent="0.2">
      <c r="A230" t="s">
        <v>20</v>
      </c>
      <c r="B230" t="s">
        <v>86</v>
      </c>
      <c r="C230" s="4">
        <v>8.6111246257928155E-4</v>
      </c>
      <c r="D230" t="s">
        <v>256</v>
      </c>
      <c r="E230" t="s">
        <v>285</v>
      </c>
      <c r="F230" t="s">
        <v>286</v>
      </c>
      <c r="G230" t="s">
        <v>245</v>
      </c>
    </row>
    <row r="231" spans="1:7" hidden="1" x14ac:dyDescent="0.2">
      <c r="A231" t="s">
        <v>20</v>
      </c>
      <c r="B231" t="s">
        <v>87</v>
      </c>
      <c r="C231" s="4">
        <v>3.4444498503171261E-7</v>
      </c>
      <c r="D231" t="s">
        <v>256</v>
      </c>
      <c r="E231" t="s">
        <v>285</v>
      </c>
      <c r="F231" t="s">
        <v>286</v>
      </c>
      <c r="G231" t="s">
        <v>245</v>
      </c>
    </row>
    <row r="232" spans="1:7" hidden="1" x14ac:dyDescent="0.2">
      <c r="A232" t="s">
        <v>20</v>
      </c>
      <c r="B232" t="s">
        <v>154</v>
      </c>
      <c r="C232" s="4">
        <v>3.1733992026959708E-2</v>
      </c>
      <c r="D232" t="s">
        <v>256</v>
      </c>
      <c r="E232" t="s">
        <v>285</v>
      </c>
      <c r="F232" t="s">
        <v>286</v>
      </c>
      <c r="G232" t="s">
        <v>245</v>
      </c>
    </row>
    <row r="233" spans="1:7" hidden="1" x14ac:dyDescent="0.2">
      <c r="A233" t="s">
        <v>20</v>
      </c>
      <c r="B233" t="s">
        <v>97</v>
      </c>
      <c r="C233" s="4">
        <v>9.6471927518441802E-2</v>
      </c>
      <c r="D233" t="s">
        <v>256</v>
      </c>
      <c r="E233" t="s">
        <v>285</v>
      </c>
      <c r="F233" t="s">
        <v>286</v>
      </c>
      <c r="G233" t="s">
        <v>245</v>
      </c>
    </row>
    <row r="234" spans="1:7" hidden="1" x14ac:dyDescent="0.2">
      <c r="A234" t="s">
        <v>20</v>
      </c>
      <c r="B234" t="s">
        <v>99</v>
      </c>
      <c r="C234" s="4">
        <v>7.5030738126945487E-3</v>
      </c>
      <c r="D234" t="s">
        <v>256</v>
      </c>
      <c r="E234" t="s">
        <v>285</v>
      </c>
      <c r="F234" t="s">
        <v>286</v>
      </c>
      <c r="G234" t="s">
        <v>245</v>
      </c>
    </row>
    <row r="235" spans="1:7" hidden="1" x14ac:dyDescent="0.2">
      <c r="A235" t="s">
        <v>20</v>
      </c>
      <c r="B235" t="s">
        <v>102</v>
      </c>
      <c r="C235" s="4">
        <v>0.1879527209072796</v>
      </c>
      <c r="D235" t="s">
        <v>287</v>
      </c>
      <c r="E235" t="s">
        <v>285</v>
      </c>
      <c r="F235" t="s">
        <v>286</v>
      </c>
      <c r="G235" t="s">
        <v>245</v>
      </c>
    </row>
    <row r="236" spans="1:7" hidden="1" x14ac:dyDescent="0.2">
      <c r="A236" t="s">
        <v>20</v>
      </c>
      <c r="B236" t="s">
        <v>141</v>
      </c>
      <c r="C236" s="4">
        <v>1.157226075461294E-3</v>
      </c>
      <c r="D236" t="s">
        <v>256</v>
      </c>
      <c r="E236" t="s">
        <v>285</v>
      </c>
      <c r="F236" t="s">
        <v>286</v>
      </c>
      <c r="G236" t="s">
        <v>245</v>
      </c>
    </row>
    <row r="237" spans="1:7" hidden="1" x14ac:dyDescent="0.2">
      <c r="A237" t="s">
        <v>20</v>
      </c>
      <c r="B237" t="s">
        <v>133</v>
      </c>
      <c r="C237" s="4">
        <v>1.707815643284737E-2</v>
      </c>
      <c r="D237" t="s">
        <v>256</v>
      </c>
      <c r="E237" t="s">
        <v>285</v>
      </c>
      <c r="F237" t="s">
        <v>286</v>
      </c>
      <c r="G237" t="s">
        <v>245</v>
      </c>
    </row>
    <row r="238" spans="1:7" hidden="1" x14ac:dyDescent="0.2">
      <c r="A238" t="s">
        <v>20</v>
      </c>
      <c r="B238" t="s">
        <v>106</v>
      </c>
      <c r="C238" s="4">
        <v>1.156186999756449E-2</v>
      </c>
      <c r="D238" t="s">
        <v>256</v>
      </c>
      <c r="E238" t="s">
        <v>285</v>
      </c>
      <c r="F238" t="s">
        <v>286</v>
      </c>
      <c r="G238" t="s">
        <v>245</v>
      </c>
    </row>
    <row r="239" spans="1:7" hidden="1" x14ac:dyDescent="0.2">
      <c r="A239" t="s">
        <v>20</v>
      </c>
      <c r="B239" t="s">
        <v>155</v>
      </c>
      <c r="C239" s="4">
        <v>2.9909822867731262E-3</v>
      </c>
      <c r="D239" t="s">
        <v>256</v>
      </c>
      <c r="E239" t="s">
        <v>285</v>
      </c>
      <c r="F239" t="s">
        <v>286</v>
      </c>
      <c r="G239" t="s">
        <v>245</v>
      </c>
    </row>
    <row r="240" spans="1:7" hidden="1" x14ac:dyDescent="0.2">
      <c r="A240" t="s">
        <v>20</v>
      </c>
      <c r="B240" t="s">
        <v>156</v>
      </c>
      <c r="C240" s="4">
        <v>9.9748397290308705E-4</v>
      </c>
      <c r="D240" t="s">
        <v>256</v>
      </c>
      <c r="E240" t="s">
        <v>285</v>
      </c>
      <c r="F240" t="s">
        <v>286</v>
      </c>
      <c r="G240" t="s">
        <v>245</v>
      </c>
    </row>
    <row r="241" spans="1:8" hidden="1" x14ac:dyDescent="0.2">
      <c r="A241" t="s">
        <v>20</v>
      </c>
      <c r="B241" t="s">
        <v>107</v>
      </c>
      <c r="C241" s="4">
        <v>1.7101693506824531E-2</v>
      </c>
      <c r="D241" t="s">
        <v>256</v>
      </c>
      <c r="E241" t="s">
        <v>285</v>
      </c>
      <c r="F241" t="s">
        <v>286</v>
      </c>
      <c r="G241" t="s">
        <v>245</v>
      </c>
    </row>
    <row r="242" spans="1:8" hidden="1" x14ac:dyDescent="0.2">
      <c r="A242" t="s">
        <v>20</v>
      </c>
      <c r="B242" t="s">
        <v>137</v>
      </c>
      <c r="C242" s="4">
        <v>0.48057119311867807</v>
      </c>
      <c r="D242" t="s">
        <v>256</v>
      </c>
      <c r="E242" t="s">
        <v>285</v>
      </c>
      <c r="F242" t="s">
        <v>286</v>
      </c>
      <c r="G242" t="s">
        <v>245</v>
      </c>
    </row>
    <row r="243" spans="1:8" hidden="1" x14ac:dyDescent="0.2">
      <c r="A243" t="s">
        <v>20</v>
      </c>
      <c r="B243" t="s">
        <v>157</v>
      </c>
      <c r="C243" s="4">
        <v>4.898466947130996E-4</v>
      </c>
      <c r="D243" t="s">
        <v>256</v>
      </c>
      <c r="E243" t="s">
        <v>285</v>
      </c>
      <c r="F243" t="s">
        <v>286</v>
      </c>
      <c r="G243" t="s">
        <v>245</v>
      </c>
    </row>
    <row r="244" spans="1:8" hidden="1" x14ac:dyDescent="0.2">
      <c r="A244" t="s">
        <v>20</v>
      </c>
      <c r="B244" t="s">
        <v>112</v>
      </c>
      <c r="C244" s="4">
        <v>7.8779160676553092E-2</v>
      </c>
      <c r="D244" t="s">
        <v>256</v>
      </c>
      <c r="E244" t="s">
        <v>285</v>
      </c>
      <c r="F244" t="s">
        <v>286</v>
      </c>
      <c r="G244" t="s">
        <v>245</v>
      </c>
    </row>
    <row r="245" spans="1:8" hidden="1" x14ac:dyDescent="0.2">
      <c r="A245" t="s">
        <v>20</v>
      </c>
      <c r="B245" t="s">
        <v>158</v>
      </c>
      <c r="C245" s="4">
        <v>3.2435241831236021E-2</v>
      </c>
      <c r="D245" t="s">
        <v>256</v>
      </c>
      <c r="E245" t="s">
        <v>285</v>
      </c>
      <c r="F245" t="s">
        <v>286</v>
      </c>
      <c r="G245" t="s">
        <v>245</v>
      </c>
    </row>
    <row r="246" spans="1:8" hidden="1" x14ac:dyDescent="0.2">
      <c r="A246" t="s">
        <v>21</v>
      </c>
      <c r="B246" t="s">
        <v>83</v>
      </c>
      <c r="C246" s="4">
        <v>4.1208758140038763E-2</v>
      </c>
      <c r="D246" t="s">
        <v>299</v>
      </c>
      <c r="E246" t="s">
        <v>297</v>
      </c>
      <c r="F246" t="s">
        <v>298</v>
      </c>
      <c r="G246" t="s">
        <v>245</v>
      </c>
      <c r="H246" t="s">
        <v>301</v>
      </c>
    </row>
    <row r="247" spans="1:8" hidden="1" x14ac:dyDescent="0.2">
      <c r="A247" t="s">
        <v>291</v>
      </c>
      <c r="B247" t="s">
        <v>83</v>
      </c>
      <c r="D247" t="s">
        <v>299</v>
      </c>
      <c r="E247" t="s">
        <v>300</v>
      </c>
      <c r="F247" t="s">
        <v>291</v>
      </c>
      <c r="G247" t="s">
        <v>245</v>
      </c>
      <c r="H247" t="s">
        <v>302</v>
      </c>
    </row>
    <row r="248" spans="1:8" hidden="1" x14ac:dyDescent="0.2">
      <c r="A248" t="s">
        <v>21</v>
      </c>
      <c r="B248" t="s">
        <v>85</v>
      </c>
      <c r="C248" s="4">
        <v>3.9571722618775361E-4</v>
      </c>
      <c r="D248" t="s">
        <v>299</v>
      </c>
      <c r="E248" t="s">
        <v>297</v>
      </c>
      <c r="F248" t="s">
        <v>298</v>
      </c>
      <c r="G248" t="s">
        <v>245</v>
      </c>
    </row>
    <row r="249" spans="1:8" hidden="1" x14ac:dyDescent="0.2">
      <c r="A249" t="s">
        <v>291</v>
      </c>
      <c r="B249" t="s">
        <v>85</v>
      </c>
      <c r="D249" t="s">
        <v>299</v>
      </c>
      <c r="E249" t="s">
        <v>300</v>
      </c>
      <c r="F249" t="s">
        <v>291</v>
      </c>
      <c r="G249" t="s">
        <v>245</v>
      </c>
    </row>
    <row r="250" spans="1:8" hidden="1" x14ac:dyDescent="0.2">
      <c r="A250" t="s">
        <v>21</v>
      </c>
      <c r="B250" t="s">
        <v>116</v>
      </c>
      <c r="C250" s="4">
        <v>3.748179399833889E-2</v>
      </c>
      <c r="D250" t="s">
        <v>299</v>
      </c>
      <c r="E250" t="s">
        <v>297</v>
      </c>
      <c r="F250" t="s">
        <v>298</v>
      </c>
      <c r="G250" t="s">
        <v>245</v>
      </c>
    </row>
    <row r="251" spans="1:8" hidden="1" x14ac:dyDescent="0.2">
      <c r="A251" t="s">
        <v>291</v>
      </c>
      <c r="B251" t="s">
        <v>116</v>
      </c>
      <c r="D251" t="s">
        <v>299</v>
      </c>
      <c r="E251" t="s">
        <v>300</v>
      </c>
      <c r="F251" t="s">
        <v>291</v>
      </c>
      <c r="G251" t="s">
        <v>245</v>
      </c>
    </row>
    <row r="252" spans="1:8" hidden="1" x14ac:dyDescent="0.2">
      <c r="A252" t="s">
        <v>21</v>
      </c>
      <c r="B252" t="s">
        <v>86</v>
      </c>
      <c r="C252" s="4">
        <v>2.7050206434994041E-2</v>
      </c>
      <c r="D252" t="s">
        <v>299</v>
      </c>
      <c r="E252" t="s">
        <v>297</v>
      </c>
      <c r="F252" t="s">
        <v>298</v>
      </c>
      <c r="G252" t="s">
        <v>245</v>
      </c>
    </row>
    <row r="253" spans="1:8" hidden="1" x14ac:dyDescent="0.2">
      <c r="A253" t="s">
        <v>291</v>
      </c>
      <c r="B253" t="s">
        <v>86</v>
      </c>
      <c r="D253" t="s">
        <v>299</v>
      </c>
      <c r="E253" t="s">
        <v>300</v>
      </c>
      <c r="F253" t="s">
        <v>291</v>
      </c>
      <c r="G253" t="s">
        <v>245</v>
      </c>
    </row>
    <row r="254" spans="1:8" hidden="1" x14ac:dyDescent="0.2">
      <c r="A254" t="s">
        <v>21</v>
      </c>
      <c r="B254" t="s">
        <v>159</v>
      </c>
      <c r="C254" s="4">
        <f>(59.2/(14.8+59.2))*67.6223563681885%</f>
        <v>0.54097885094550813</v>
      </c>
      <c r="D254" t="s">
        <v>299</v>
      </c>
      <c r="E254" t="s">
        <v>297</v>
      </c>
      <c r="F254" t="s">
        <v>298</v>
      </c>
      <c r="G254" t="s">
        <v>245</v>
      </c>
      <c r="H254" t="s">
        <v>295</v>
      </c>
    </row>
    <row r="255" spans="1:8" hidden="1" x14ac:dyDescent="0.2">
      <c r="A255" t="s">
        <v>21</v>
      </c>
      <c r="B255" t="s">
        <v>159</v>
      </c>
      <c r="C255" s="4">
        <f>(14.8/(14.8+59.2))*67.6223563681885%</f>
        <v>0.13524471273637703</v>
      </c>
      <c r="D255" t="s">
        <v>299</v>
      </c>
      <c r="E255" t="s">
        <v>296</v>
      </c>
      <c r="F255" t="s">
        <v>298</v>
      </c>
      <c r="G255" t="s">
        <v>245</v>
      </c>
    </row>
    <row r="256" spans="1:8" hidden="1" x14ac:dyDescent="0.2">
      <c r="A256" t="s">
        <v>291</v>
      </c>
      <c r="B256" t="s">
        <v>159</v>
      </c>
      <c r="D256" t="s">
        <v>299</v>
      </c>
      <c r="E256" t="s">
        <v>300</v>
      </c>
      <c r="F256" t="s">
        <v>291</v>
      </c>
      <c r="G256" t="s">
        <v>245</v>
      </c>
    </row>
    <row r="257" spans="1:7" hidden="1" x14ac:dyDescent="0.2">
      <c r="A257" t="s">
        <v>21</v>
      </c>
      <c r="B257" t="s">
        <v>160</v>
      </c>
      <c r="C257" s="4">
        <v>3.7615705911383412E-2</v>
      </c>
      <c r="D257" t="s">
        <v>299</v>
      </c>
      <c r="E257" t="s">
        <v>297</v>
      </c>
      <c r="F257" t="s">
        <v>298</v>
      </c>
      <c r="G257" t="s">
        <v>245</v>
      </c>
    </row>
    <row r="258" spans="1:7" hidden="1" x14ac:dyDescent="0.2">
      <c r="A258" t="s">
        <v>291</v>
      </c>
      <c r="B258" t="s">
        <v>160</v>
      </c>
      <c r="D258" t="s">
        <v>299</v>
      </c>
      <c r="E258" t="s">
        <v>300</v>
      </c>
      <c r="F258" t="s">
        <v>291</v>
      </c>
      <c r="G258" t="s">
        <v>245</v>
      </c>
    </row>
    <row r="259" spans="1:7" hidden="1" x14ac:dyDescent="0.2">
      <c r="A259" t="s">
        <v>21</v>
      </c>
      <c r="B259" t="s">
        <v>154</v>
      </c>
      <c r="C259" s="4">
        <v>1.109512861562165E-2</v>
      </c>
      <c r="D259" t="s">
        <v>299</v>
      </c>
      <c r="E259" t="s">
        <v>297</v>
      </c>
      <c r="F259" t="s">
        <v>298</v>
      </c>
      <c r="G259" t="s">
        <v>245</v>
      </c>
    </row>
    <row r="260" spans="1:7" hidden="1" x14ac:dyDescent="0.2">
      <c r="A260" t="s">
        <v>291</v>
      </c>
      <c r="B260" t="s">
        <v>154</v>
      </c>
      <c r="D260" t="s">
        <v>299</v>
      </c>
      <c r="E260" t="s">
        <v>300</v>
      </c>
      <c r="F260" t="s">
        <v>291</v>
      </c>
      <c r="G260" t="s">
        <v>245</v>
      </c>
    </row>
    <row r="261" spans="1:7" hidden="1" x14ac:dyDescent="0.2">
      <c r="A261" t="s">
        <v>21</v>
      </c>
      <c r="B261" t="s">
        <v>98</v>
      </c>
      <c r="C261" s="4">
        <v>2.6330994137968391E-3</v>
      </c>
      <c r="D261" t="s">
        <v>299</v>
      </c>
      <c r="E261" t="s">
        <v>297</v>
      </c>
      <c r="F261" t="s">
        <v>298</v>
      </c>
      <c r="G261" t="s">
        <v>245</v>
      </c>
    </row>
    <row r="262" spans="1:7" hidden="1" x14ac:dyDescent="0.2">
      <c r="A262" t="s">
        <v>291</v>
      </c>
      <c r="B262" t="s">
        <v>98</v>
      </c>
      <c r="D262" t="s">
        <v>299</v>
      </c>
      <c r="E262" t="s">
        <v>300</v>
      </c>
      <c r="F262" t="s">
        <v>291</v>
      </c>
      <c r="G262" t="s">
        <v>245</v>
      </c>
    </row>
    <row r="263" spans="1:7" hidden="1" x14ac:dyDescent="0.2">
      <c r="A263" t="s">
        <v>21</v>
      </c>
      <c r="B263" t="s">
        <v>141</v>
      </c>
      <c r="C263" s="4">
        <v>1.783586311494156E-2</v>
      </c>
      <c r="D263" t="s">
        <v>299</v>
      </c>
      <c r="E263" t="s">
        <v>297</v>
      </c>
      <c r="F263" t="s">
        <v>298</v>
      </c>
      <c r="G263" t="s">
        <v>245</v>
      </c>
    </row>
    <row r="264" spans="1:7" hidden="1" x14ac:dyDescent="0.2">
      <c r="A264" t="s">
        <v>291</v>
      </c>
      <c r="B264" t="s">
        <v>141</v>
      </c>
      <c r="D264" t="s">
        <v>299</v>
      </c>
      <c r="E264" t="s">
        <v>300</v>
      </c>
      <c r="F264" t="s">
        <v>291</v>
      </c>
      <c r="G264" t="s">
        <v>245</v>
      </c>
    </row>
    <row r="265" spans="1:7" hidden="1" x14ac:dyDescent="0.2">
      <c r="A265" t="s">
        <v>21</v>
      </c>
      <c r="B265" t="s">
        <v>161</v>
      </c>
      <c r="C265" s="4">
        <v>1.5556351336711729E-2</v>
      </c>
      <c r="D265" t="s">
        <v>299</v>
      </c>
      <c r="E265" t="s">
        <v>297</v>
      </c>
      <c r="F265" t="s">
        <v>298</v>
      </c>
      <c r="G265" t="s">
        <v>245</v>
      </c>
    </row>
    <row r="266" spans="1:7" hidden="1" x14ac:dyDescent="0.2">
      <c r="A266" t="s">
        <v>291</v>
      </c>
      <c r="B266" t="s">
        <v>161</v>
      </c>
      <c r="D266" t="s">
        <v>299</v>
      </c>
      <c r="E266" t="s">
        <v>300</v>
      </c>
      <c r="F266" t="s">
        <v>291</v>
      </c>
      <c r="G266" t="s">
        <v>245</v>
      </c>
    </row>
    <row r="267" spans="1:7" hidden="1" x14ac:dyDescent="0.2">
      <c r="A267" t="s">
        <v>21</v>
      </c>
      <c r="B267" t="s">
        <v>162</v>
      </c>
      <c r="C267" s="4">
        <v>1.547359678370668E-2</v>
      </c>
      <c r="D267" t="s">
        <v>299</v>
      </c>
      <c r="E267" t="s">
        <v>297</v>
      </c>
      <c r="F267" t="s">
        <v>298</v>
      </c>
      <c r="G267" t="s">
        <v>245</v>
      </c>
    </row>
    <row r="268" spans="1:7" hidden="1" x14ac:dyDescent="0.2">
      <c r="A268" t="s">
        <v>291</v>
      </c>
      <c r="B268" t="s">
        <v>162</v>
      </c>
      <c r="D268" t="s">
        <v>299</v>
      </c>
      <c r="E268" t="s">
        <v>300</v>
      </c>
      <c r="F268" t="s">
        <v>291</v>
      </c>
      <c r="G268" t="s">
        <v>245</v>
      </c>
    </row>
    <row r="269" spans="1:7" hidden="1" x14ac:dyDescent="0.2">
      <c r="A269" t="s">
        <v>21</v>
      </c>
      <c r="B269" t="s">
        <v>155</v>
      </c>
      <c r="C269" s="4">
        <v>2.3156228559047629E-2</v>
      </c>
      <c r="D269" t="s">
        <v>299</v>
      </c>
      <c r="E269" t="s">
        <v>297</v>
      </c>
      <c r="F269" t="s">
        <v>298</v>
      </c>
      <c r="G269" t="s">
        <v>245</v>
      </c>
    </row>
    <row r="270" spans="1:7" hidden="1" x14ac:dyDescent="0.2">
      <c r="A270" t="s">
        <v>291</v>
      </c>
      <c r="B270" t="s">
        <v>155</v>
      </c>
      <c r="D270" t="s">
        <v>299</v>
      </c>
      <c r="E270" t="s">
        <v>300</v>
      </c>
      <c r="F270" t="s">
        <v>291</v>
      </c>
      <c r="G270" t="s">
        <v>245</v>
      </c>
    </row>
    <row r="271" spans="1:7" hidden="1" x14ac:dyDescent="0.2">
      <c r="A271" t="s">
        <v>21</v>
      </c>
      <c r="B271" t="s">
        <v>156</v>
      </c>
      <c r="C271" s="4">
        <v>2.9565944846347361E-2</v>
      </c>
      <c r="D271" t="s">
        <v>299</v>
      </c>
      <c r="E271" t="s">
        <v>297</v>
      </c>
      <c r="F271" t="s">
        <v>298</v>
      </c>
      <c r="G271" t="s">
        <v>245</v>
      </c>
    </row>
    <row r="272" spans="1:7" hidden="1" x14ac:dyDescent="0.2">
      <c r="A272" t="s">
        <v>291</v>
      </c>
      <c r="B272" t="s">
        <v>156</v>
      </c>
      <c r="D272" t="s">
        <v>299</v>
      </c>
      <c r="E272" t="s">
        <v>300</v>
      </c>
      <c r="F272" t="s">
        <v>291</v>
      </c>
      <c r="G272" t="s">
        <v>245</v>
      </c>
    </row>
    <row r="273" spans="1:8" hidden="1" x14ac:dyDescent="0.2">
      <c r="A273" t="s">
        <v>21</v>
      </c>
      <c r="B273" t="s">
        <v>107</v>
      </c>
      <c r="C273" s="4">
        <v>4.4461764387255187E-2</v>
      </c>
      <c r="D273" t="s">
        <v>299</v>
      </c>
      <c r="E273" t="s">
        <v>297</v>
      </c>
      <c r="F273" t="s">
        <v>298</v>
      </c>
      <c r="G273" t="s">
        <v>245</v>
      </c>
    </row>
    <row r="274" spans="1:8" hidden="1" x14ac:dyDescent="0.2">
      <c r="A274" t="s">
        <v>291</v>
      </c>
      <c r="B274" t="s">
        <v>107</v>
      </c>
      <c r="D274" t="s">
        <v>299</v>
      </c>
      <c r="E274" t="s">
        <v>300</v>
      </c>
      <c r="F274" t="s">
        <v>291</v>
      </c>
      <c r="G274" t="s">
        <v>245</v>
      </c>
    </row>
    <row r="275" spans="1:8" hidden="1" x14ac:dyDescent="0.2">
      <c r="A275" t="s">
        <v>21</v>
      </c>
      <c r="B275" t="s">
        <v>137</v>
      </c>
      <c r="C275" s="4">
        <v>6.6369151510044886E-3</v>
      </c>
      <c r="D275" t="s">
        <v>299</v>
      </c>
      <c r="E275" t="s">
        <v>297</v>
      </c>
      <c r="F275" t="s">
        <v>298</v>
      </c>
      <c r="G275" t="s">
        <v>245</v>
      </c>
    </row>
    <row r="276" spans="1:8" hidden="1" x14ac:dyDescent="0.2">
      <c r="A276" t="s">
        <v>291</v>
      </c>
      <c r="B276" t="s">
        <v>137</v>
      </c>
      <c r="D276" t="s">
        <v>299</v>
      </c>
      <c r="E276" t="s">
        <v>300</v>
      </c>
      <c r="F276" t="s">
        <v>291</v>
      </c>
      <c r="G276" t="s">
        <v>245</v>
      </c>
    </row>
    <row r="277" spans="1:8" hidden="1" x14ac:dyDescent="0.2">
      <c r="A277" t="s">
        <v>21</v>
      </c>
      <c r="B277" t="s">
        <v>112</v>
      </c>
      <c r="C277" s="4">
        <v>1.570831878859372E-3</v>
      </c>
      <c r="D277" t="s">
        <v>299</v>
      </c>
      <c r="E277" t="s">
        <v>297</v>
      </c>
      <c r="F277" t="s">
        <v>298</v>
      </c>
      <c r="G277" t="s">
        <v>245</v>
      </c>
    </row>
    <row r="278" spans="1:8" hidden="1" x14ac:dyDescent="0.2">
      <c r="A278" t="s">
        <v>291</v>
      </c>
      <c r="B278" t="s">
        <v>112</v>
      </c>
      <c r="D278" t="s">
        <v>299</v>
      </c>
      <c r="E278" t="s">
        <v>300</v>
      </c>
      <c r="F278" t="s">
        <v>291</v>
      </c>
      <c r="G278" t="s">
        <v>245</v>
      </c>
    </row>
    <row r="279" spans="1:8" hidden="1" x14ac:dyDescent="0.2">
      <c r="A279" t="s">
        <v>21</v>
      </c>
      <c r="B279" t="s">
        <v>113</v>
      </c>
      <c r="C279" s="4">
        <v>4.5590235564596697E-3</v>
      </c>
      <c r="D279" t="s">
        <v>299</v>
      </c>
      <c r="E279" t="s">
        <v>297</v>
      </c>
      <c r="F279" t="s">
        <v>298</v>
      </c>
      <c r="G279" t="s">
        <v>245</v>
      </c>
    </row>
    <row r="280" spans="1:8" hidden="1" x14ac:dyDescent="0.2">
      <c r="A280" t="s">
        <v>291</v>
      </c>
      <c r="B280" t="s">
        <v>113</v>
      </c>
      <c r="D280" t="s">
        <v>299</v>
      </c>
      <c r="E280" t="s">
        <v>300</v>
      </c>
      <c r="F280" t="s">
        <v>291</v>
      </c>
      <c r="G280" t="s">
        <v>245</v>
      </c>
    </row>
    <row r="281" spans="1:8" hidden="1" x14ac:dyDescent="0.2">
      <c r="A281" t="s">
        <v>21</v>
      </c>
      <c r="B281" t="s">
        <v>143</v>
      </c>
      <c r="C281" s="4">
        <v>3.8172418358871892E-3</v>
      </c>
      <c r="D281" t="s">
        <v>299</v>
      </c>
      <c r="E281" t="s">
        <v>297</v>
      </c>
      <c r="F281" t="s">
        <v>298</v>
      </c>
      <c r="G281" t="s">
        <v>245</v>
      </c>
    </row>
    <row r="282" spans="1:8" hidden="1" x14ac:dyDescent="0.2">
      <c r="A282" t="s">
        <v>291</v>
      </c>
      <c r="B282" t="s">
        <v>143</v>
      </c>
      <c r="D282" t="s">
        <v>299</v>
      </c>
      <c r="E282" t="s">
        <v>300</v>
      </c>
      <c r="F282" t="s">
        <v>291</v>
      </c>
      <c r="G282" t="s">
        <v>245</v>
      </c>
    </row>
    <row r="283" spans="1:8" hidden="1" x14ac:dyDescent="0.2">
      <c r="A283" t="s">
        <v>21</v>
      </c>
      <c r="B283" t="s">
        <v>158</v>
      </c>
      <c r="C283" s="4">
        <v>3.662265127532289E-3</v>
      </c>
      <c r="D283" t="s">
        <v>299</v>
      </c>
      <c r="E283" t="s">
        <v>297</v>
      </c>
      <c r="F283" t="s">
        <v>298</v>
      </c>
      <c r="G283" t="s">
        <v>245</v>
      </c>
    </row>
    <row r="284" spans="1:8" hidden="1" x14ac:dyDescent="0.2">
      <c r="A284" t="s">
        <v>291</v>
      </c>
      <c r="B284" t="s">
        <v>158</v>
      </c>
      <c r="D284" t="s">
        <v>299</v>
      </c>
      <c r="E284" t="s">
        <v>300</v>
      </c>
      <c r="F284" t="s">
        <v>291</v>
      </c>
      <c r="G284" t="s">
        <v>245</v>
      </c>
    </row>
    <row r="285" spans="1:8" hidden="1" x14ac:dyDescent="0.2">
      <c r="A285" t="s">
        <v>22</v>
      </c>
      <c r="B285" t="s">
        <v>83</v>
      </c>
      <c r="C285" s="4">
        <v>2.4369514927577728E-2</v>
      </c>
      <c r="D285" t="s">
        <v>254</v>
      </c>
      <c r="E285" t="s">
        <v>292</v>
      </c>
      <c r="F285" t="s">
        <v>293</v>
      </c>
      <c r="G285" t="s">
        <v>245</v>
      </c>
      <c r="H285" t="s">
        <v>294</v>
      </c>
    </row>
    <row r="286" spans="1:8" hidden="1" x14ac:dyDescent="0.2">
      <c r="A286" t="s">
        <v>22</v>
      </c>
      <c r="B286" t="s">
        <v>163</v>
      </c>
      <c r="C286" s="4">
        <v>1.1134895854637341E-2</v>
      </c>
      <c r="D286" t="s">
        <v>254</v>
      </c>
      <c r="E286" t="s">
        <v>292</v>
      </c>
      <c r="F286" t="s">
        <v>293</v>
      </c>
      <c r="G286" t="s">
        <v>245</v>
      </c>
    </row>
    <row r="287" spans="1:8" hidden="1" x14ac:dyDescent="0.2">
      <c r="A287" t="s">
        <v>22</v>
      </c>
      <c r="B287" t="s">
        <v>85</v>
      </c>
      <c r="C287" s="4">
        <v>2.9238570067279012E-4</v>
      </c>
      <c r="D287" t="s">
        <v>254</v>
      </c>
      <c r="E287" t="s">
        <v>292</v>
      </c>
      <c r="F287" t="s">
        <v>293</v>
      </c>
      <c r="G287" t="s">
        <v>245</v>
      </c>
    </row>
    <row r="288" spans="1:8" hidden="1" x14ac:dyDescent="0.2">
      <c r="A288" t="s">
        <v>22</v>
      </c>
      <c r="B288" t="s">
        <v>116</v>
      </c>
      <c r="C288" s="4">
        <v>4.4753191624740382E-2</v>
      </c>
      <c r="D288" t="s">
        <v>254</v>
      </c>
      <c r="E288" t="s">
        <v>292</v>
      </c>
      <c r="F288" t="s">
        <v>293</v>
      </c>
      <c r="G288" t="s">
        <v>245</v>
      </c>
    </row>
    <row r="289" spans="1:8" hidden="1" x14ac:dyDescent="0.2">
      <c r="A289" t="s">
        <v>22</v>
      </c>
      <c r="B289" t="s">
        <v>86</v>
      </c>
      <c r="C289" s="4">
        <v>0.67863781592426453</v>
      </c>
      <c r="D289" t="s">
        <v>254</v>
      </c>
      <c r="E289" t="s">
        <v>292</v>
      </c>
      <c r="F289" t="s">
        <v>293</v>
      </c>
      <c r="G289" t="s">
        <v>245</v>
      </c>
    </row>
    <row r="290" spans="1:8" hidden="1" x14ac:dyDescent="0.2">
      <c r="A290" t="s">
        <v>22</v>
      </c>
      <c r="B290" t="s">
        <v>159</v>
      </c>
      <c r="C290" s="4">
        <v>2.848109415880028E-4</v>
      </c>
      <c r="D290" t="s">
        <v>254</v>
      </c>
      <c r="E290" t="s">
        <v>292</v>
      </c>
      <c r="F290" t="s">
        <v>293</v>
      </c>
      <c r="G290" t="s">
        <v>245</v>
      </c>
    </row>
    <row r="291" spans="1:8" hidden="1" x14ac:dyDescent="0.2">
      <c r="A291" t="s">
        <v>22</v>
      </c>
      <c r="B291" t="s">
        <v>154</v>
      </c>
      <c r="C291" s="4">
        <v>0.10846752019052031</v>
      </c>
      <c r="D291" t="s">
        <v>254</v>
      </c>
      <c r="E291" t="s">
        <v>292</v>
      </c>
      <c r="F291" t="s">
        <v>293</v>
      </c>
      <c r="G291" t="s">
        <v>245</v>
      </c>
    </row>
    <row r="292" spans="1:8" hidden="1" x14ac:dyDescent="0.2">
      <c r="A292" t="s">
        <v>22</v>
      </c>
      <c r="B292" t="s">
        <v>91</v>
      </c>
      <c r="C292" s="4">
        <v>4.9235934051117508E-4</v>
      </c>
      <c r="D292" t="s">
        <v>254</v>
      </c>
      <c r="E292" t="s">
        <v>292</v>
      </c>
      <c r="F292" t="s">
        <v>293</v>
      </c>
      <c r="G292" t="s">
        <v>245</v>
      </c>
    </row>
    <row r="293" spans="1:8" hidden="1" x14ac:dyDescent="0.2">
      <c r="A293" t="s">
        <v>22</v>
      </c>
      <c r="B293" t="s">
        <v>97</v>
      </c>
      <c r="C293" s="4">
        <v>1.514951816957462E-4</v>
      </c>
      <c r="D293" t="s">
        <v>254</v>
      </c>
      <c r="E293" t="s">
        <v>292</v>
      </c>
      <c r="F293" t="s">
        <v>293</v>
      </c>
      <c r="G293" t="s">
        <v>245</v>
      </c>
    </row>
    <row r="294" spans="1:8" hidden="1" x14ac:dyDescent="0.2">
      <c r="A294" t="s">
        <v>22</v>
      </c>
      <c r="B294" t="s">
        <v>119</v>
      </c>
      <c r="C294" s="4">
        <v>2.8521997857858129E-2</v>
      </c>
      <c r="D294" t="s">
        <v>254</v>
      </c>
      <c r="E294" t="s">
        <v>292</v>
      </c>
      <c r="F294" t="s">
        <v>293</v>
      </c>
      <c r="G294" t="s">
        <v>245</v>
      </c>
    </row>
    <row r="295" spans="1:8" hidden="1" x14ac:dyDescent="0.2">
      <c r="A295" t="s">
        <v>22</v>
      </c>
      <c r="B295" t="s">
        <v>141</v>
      </c>
      <c r="C295" s="4">
        <v>1.7799168897433219E-2</v>
      </c>
      <c r="D295" t="s">
        <v>254</v>
      </c>
      <c r="E295" t="s">
        <v>292</v>
      </c>
      <c r="F295" t="s">
        <v>293</v>
      </c>
      <c r="G295" t="s">
        <v>245</v>
      </c>
    </row>
    <row r="296" spans="1:8" hidden="1" x14ac:dyDescent="0.2">
      <c r="A296" t="s">
        <v>22</v>
      </c>
      <c r="B296" t="s">
        <v>161</v>
      </c>
      <c r="C296" s="4">
        <v>1.5663086835523199E-2</v>
      </c>
      <c r="D296" t="s">
        <v>254</v>
      </c>
      <c r="E296" t="s">
        <v>292</v>
      </c>
      <c r="F296" t="s">
        <v>293</v>
      </c>
      <c r="G296" t="s">
        <v>245</v>
      </c>
    </row>
    <row r="297" spans="1:8" hidden="1" x14ac:dyDescent="0.2">
      <c r="A297" t="s">
        <v>22</v>
      </c>
      <c r="B297" t="s">
        <v>162</v>
      </c>
      <c r="C297" s="4">
        <v>8.9154914427946614E-3</v>
      </c>
      <c r="D297" t="s">
        <v>254</v>
      </c>
      <c r="E297" t="s">
        <v>292</v>
      </c>
      <c r="F297" t="s">
        <v>293</v>
      </c>
      <c r="G297" t="s">
        <v>245</v>
      </c>
    </row>
    <row r="298" spans="1:8" hidden="1" x14ac:dyDescent="0.2">
      <c r="A298" t="s">
        <v>22</v>
      </c>
      <c r="B298" t="s">
        <v>132</v>
      </c>
      <c r="C298" s="4">
        <v>3.0842904041436959E-2</v>
      </c>
      <c r="D298" t="s">
        <v>254</v>
      </c>
      <c r="E298" t="s">
        <v>292</v>
      </c>
      <c r="F298" t="s">
        <v>293</v>
      </c>
      <c r="G298" t="s">
        <v>245</v>
      </c>
    </row>
    <row r="299" spans="1:8" hidden="1" x14ac:dyDescent="0.2">
      <c r="A299" t="s">
        <v>22</v>
      </c>
      <c r="B299" t="s">
        <v>107</v>
      </c>
      <c r="C299" s="4">
        <v>1.420570318761012E-2</v>
      </c>
      <c r="D299" t="s">
        <v>254</v>
      </c>
      <c r="E299" t="s">
        <v>292</v>
      </c>
      <c r="F299" t="s">
        <v>293</v>
      </c>
      <c r="G299" t="s">
        <v>245</v>
      </c>
    </row>
    <row r="300" spans="1:8" hidden="1" x14ac:dyDescent="0.2">
      <c r="A300" t="s">
        <v>22</v>
      </c>
      <c r="B300" t="s">
        <v>137</v>
      </c>
      <c r="C300" s="4">
        <v>6.8536420199155563E-3</v>
      </c>
      <c r="D300" t="s">
        <v>254</v>
      </c>
      <c r="E300" t="s">
        <v>292</v>
      </c>
      <c r="F300" t="s">
        <v>293</v>
      </c>
      <c r="G300" t="s">
        <v>245</v>
      </c>
    </row>
    <row r="301" spans="1:8" hidden="1" x14ac:dyDescent="0.2">
      <c r="A301" t="s">
        <v>22</v>
      </c>
      <c r="B301" t="s">
        <v>143</v>
      </c>
      <c r="C301" s="4">
        <v>8.6140160312201276E-3</v>
      </c>
      <c r="D301" t="s">
        <v>254</v>
      </c>
      <c r="E301" t="s">
        <v>292</v>
      </c>
      <c r="F301" t="s">
        <v>293</v>
      </c>
      <c r="G301" t="s">
        <v>245</v>
      </c>
    </row>
    <row r="302" spans="1:8" hidden="1" x14ac:dyDescent="0.2">
      <c r="A302" t="s">
        <v>23</v>
      </c>
      <c r="B302" t="s">
        <v>153</v>
      </c>
      <c r="C302" s="4">
        <f>(0.0260899569876454 / ( 0.0260899569876454 + 0.0904226503711535 + 0.00131543821211861))*0.0137944095839437%</f>
        <v>3.0544133272451103E-5</v>
      </c>
      <c r="D302" t="s">
        <v>242</v>
      </c>
      <c r="E302" t="s">
        <v>316</v>
      </c>
      <c r="F302" t="s">
        <v>306</v>
      </c>
      <c r="G302" t="s">
        <v>245</v>
      </c>
      <c r="H302" t="s">
        <v>319</v>
      </c>
    </row>
    <row r="303" spans="1:8" hidden="1" x14ac:dyDescent="0.2">
      <c r="A303" t="s">
        <v>23</v>
      </c>
      <c r="B303" t="s">
        <v>153</v>
      </c>
      <c r="C303" s="4">
        <f>(0.0904226503711535 / ( 0.0260899569876454 + 0.0904226503711535 + 0.00131543821211861))*0.0137944095839437%</f>
        <v>1.0585994776045893E-4</v>
      </c>
      <c r="D303" t="s">
        <v>242</v>
      </c>
      <c r="E303" t="s">
        <v>317</v>
      </c>
      <c r="F303" t="s">
        <v>306</v>
      </c>
      <c r="G303" t="s">
        <v>245</v>
      </c>
    </row>
    <row r="304" spans="1:8" hidden="1" x14ac:dyDescent="0.2">
      <c r="A304" t="s">
        <v>23</v>
      </c>
      <c r="B304" t="s">
        <v>153</v>
      </c>
      <c r="C304" s="4">
        <f>(0.00131543821211861 / ( 0.0260899569876454 + 0.0904226503711535 + 0.00131543821211861))*0.0137944095839437%</f>
        <v>1.5400148065269669E-6</v>
      </c>
      <c r="D304" t="s">
        <v>242</v>
      </c>
      <c r="E304" t="s">
        <v>318</v>
      </c>
      <c r="F304" t="s">
        <v>306</v>
      </c>
      <c r="G304" t="s">
        <v>245</v>
      </c>
      <c r="H304" t="s">
        <v>345</v>
      </c>
    </row>
    <row r="305" spans="1:8" hidden="1" x14ac:dyDescent="0.2">
      <c r="A305" t="s">
        <v>23</v>
      </c>
      <c r="B305" t="s">
        <v>124</v>
      </c>
      <c r="C305" s="4">
        <f>(0.0260899569876454 / ( 0.0260899569876454 + 0.0904226503711535 + 0.00131543821211861))*0.0487166735794057%</f>
        <v>1.0787040658353836E-4</v>
      </c>
      <c r="D305" t="s">
        <v>242</v>
      </c>
      <c r="E305" t="s">
        <v>316</v>
      </c>
      <c r="F305" t="s">
        <v>306</v>
      </c>
      <c r="G305" t="s">
        <v>245</v>
      </c>
    </row>
    <row r="306" spans="1:8" hidden="1" x14ac:dyDescent="0.2">
      <c r="A306" t="s">
        <v>23</v>
      </c>
      <c r="B306" t="s">
        <v>124</v>
      </c>
      <c r="C306" s="4">
        <f>(0.0904226503711535 / ( 0.0260899569876454 + 0.0904226503711535 + 0.00131543821211861))*0.0487166735794057%</f>
        <v>3.7385757533124045E-4</v>
      </c>
      <c r="D306" t="s">
        <v>242</v>
      </c>
      <c r="E306" t="s">
        <v>317</v>
      </c>
      <c r="F306" t="s">
        <v>306</v>
      </c>
      <c r="G306" t="s">
        <v>245</v>
      </c>
    </row>
    <row r="307" spans="1:8" hidden="1" x14ac:dyDescent="0.2">
      <c r="A307" t="s">
        <v>23</v>
      </c>
      <c r="B307" t="s">
        <v>124</v>
      </c>
      <c r="C307" s="4">
        <f>(0.00131543821211861 / ( 0.0260899569876454 + 0.0904226503711535 + 0.00131543821211861))*0.0487166735794057%</f>
        <v>5.4387538792781779E-6</v>
      </c>
      <c r="D307" t="s">
        <v>242</v>
      </c>
      <c r="E307" t="s">
        <v>318</v>
      </c>
      <c r="F307" t="s">
        <v>306</v>
      </c>
      <c r="G307" t="s">
        <v>245</v>
      </c>
    </row>
    <row r="308" spans="1:8" hidden="1" x14ac:dyDescent="0.2">
      <c r="A308" t="s">
        <v>23</v>
      </c>
      <c r="B308" t="s">
        <v>164</v>
      </c>
      <c r="C308" s="4">
        <f>(0.0260899569876454 / ( 0.0260899569876454 + 0.0904226503711535 + 0.00131543821211861))*0.43833667824064%</f>
        <v>9.70582599922913E-4</v>
      </c>
      <c r="D308" t="s">
        <v>242</v>
      </c>
      <c r="E308" t="s">
        <v>316</v>
      </c>
      <c r="F308" t="s">
        <v>306</v>
      </c>
      <c r="G308" t="s">
        <v>245</v>
      </c>
      <c r="H308" s="7"/>
    </row>
    <row r="309" spans="1:8" hidden="1" x14ac:dyDescent="0.2">
      <c r="A309" t="s">
        <v>23</v>
      </c>
      <c r="B309" t="s">
        <v>164</v>
      </c>
      <c r="C309" s="4">
        <f>(0.0904226503711535 / ( 0.0260899569876454 + 0.0904226503711535 + 0.00131543821211861))*0.43833667824064%</f>
        <v>3.3638480558137256E-3</v>
      </c>
      <c r="D309" t="s">
        <v>242</v>
      </c>
      <c r="E309" t="s">
        <v>317</v>
      </c>
      <c r="F309" t="s">
        <v>306</v>
      </c>
      <c r="G309" t="s">
        <v>245</v>
      </c>
    </row>
    <row r="310" spans="1:8" hidden="1" x14ac:dyDescent="0.2">
      <c r="A310" t="s">
        <v>23</v>
      </c>
      <c r="B310" t="s">
        <v>164</v>
      </c>
      <c r="C310" s="4">
        <f>(0.00131543821211861 / ( 0.0260899569876454 + 0.0904226503711535 + 0.00131543821211861))*0.43833667824064%</f>
        <v>4.893612666976089E-5</v>
      </c>
      <c r="D310" t="s">
        <v>242</v>
      </c>
      <c r="E310" t="s">
        <v>318</v>
      </c>
      <c r="F310" t="s">
        <v>306</v>
      </c>
      <c r="G310" t="s">
        <v>245</v>
      </c>
    </row>
    <row r="311" spans="1:8" hidden="1" x14ac:dyDescent="0.2">
      <c r="A311" t="s">
        <v>23</v>
      </c>
      <c r="B311" t="s">
        <v>83</v>
      </c>
      <c r="C311" s="4">
        <v>4.1790142695172623E-2</v>
      </c>
      <c r="D311" t="s">
        <v>308</v>
      </c>
      <c r="E311" t="s">
        <v>307</v>
      </c>
      <c r="F311" t="s">
        <v>306</v>
      </c>
      <c r="G311" t="s">
        <v>245</v>
      </c>
    </row>
    <row r="312" spans="1:8" hidden="1" x14ac:dyDescent="0.2">
      <c r="A312" t="s">
        <v>23</v>
      </c>
      <c r="B312" t="s">
        <v>125</v>
      </c>
      <c r="C312" s="4">
        <f>(0.0260899569876454 / ( 0.0260899569876454 + 0.0904226503711535 + 0.00131543821211861))*0.0106523282702424%</f>
        <v>2.3586811191027657E-5</v>
      </c>
      <c r="D312" t="s">
        <v>242</v>
      </c>
      <c r="E312" t="s">
        <v>316</v>
      </c>
      <c r="F312" t="s">
        <v>306</v>
      </c>
      <c r="G312" t="s">
        <v>245</v>
      </c>
    </row>
    <row r="313" spans="1:8" hidden="1" x14ac:dyDescent="0.2">
      <c r="A313" t="s">
        <v>23</v>
      </c>
      <c r="B313" t="s">
        <v>125</v>
      </c>
      <c r="C313" s="4">
        <f>(0.0904226503711535 / ( 0.0260899569876454 + 0.0904226503711535 + 0.00131543821211861))*0.0106523282702424%</f>
        <v>8.1747240239095017E-5</v>
      </c>
      <c r="D313" t="s">
        <v>242</v>
      </c>
      <c r="E313" t="s">
        <v>317</v>
      </c>
      <c r="F313" t="s">
        <v>306</v>
      </c>
      <c r="G313" t="s">
        <v>245</v>
      </c>
    </row>
    <row r="314" spans="1:8" hidden="1" x14ac:dyDescent="0.2">
      <c r="A314" t="s">
        <v>23</v>
      </c>
      <c r="B314" t="s">
        <v>125</v>
      </c>
      <c r="C314" s="4">
        <f>(0.00131543821211861 / ( 0.0260899569876454 + 0.0904226503711535 + 0.00131543821211861))*0.0106523282702424%</f>
        <v>1.1892312723013346E-6</v>
      </c>
      <c r="D314" t="s">
        <v>242</v>
      </c>
      <c r="E314" t="s">
        <v>318</v>
      </c>
      <c r="F314" t="s">
        <v>306</v>
      </c>
      <c r="G314" t="s">
        <v>245</v>
      </c>
    </row>
    <row r="315" spans="1:8" hidden="1" x14ac:dyDescent="0.2">
      <c r="A315" t="s">
        <v>23</v>
      </c>
      <c r="B315" t="s">
        <v>144</v>
      </c>
      <c r="C315" s="4">
        <f>(0.0260899569876454 / ( 0.0260899569876454 + 0.0904226503711535 + 0.00131543821211861))*0.0221435057719409%</f>
        <v>4.9031035891866667E-5</v>
      </c>
      <c r="D315" t="s">
        <v>242</v>
      </c>
      <c r="E315" t="s">
        <v>316</v>
      </c>
      <c r="F315" t="s">
        <v>306</v>
      </c>
      <c r="G315" t="s">
        <v>245</v>
      </c>
    </row>
    <row r="316" spans="1:8" hidden="1" x14ac:dyDescent="0.2">
      <c r="A316" t="s">
        <v>23</v>
      </c>
      <c r="B316" t="s">
        <v>144</v>
      </c>
      <c r="C316" s="4">
        <f>(0.0904226503711535 / ( 0.0260899569876454 + 0.0904226503711535 + 0.00131543821211861))*0.0221435057719409%</f>
        <v>1.699319097338941E-4</v>
      </c>
      <c r="D316" t="s">
        <v>242</v>
      </c>
      <c r="E316" t="s">
        <v>317</v>
      </c>
      <c r="F316" t="s">
        <v>306</v>
      </c>
      <c r="G316" t="s">
        <v>245</v>
      </c>
    </row>
    <row r="317" spans="1:8" hidden="1" x14ac:dyDescent="0.2">
      <c r="A317" t="s">
        <v>23</v>
      </c>
      <c r="B317" t="s">
        <v>144</v>
      </c>
      <c r="C317" s="4">
        <f>(0.00131543821211861 / ( 0.0260899569876454 + 0.0904226503711535 + 0.00131543821211861))*0.0221435057719409%</f>
        <v>2.4721120936482353E-6</v>
      </c>
      <c r="D317" t="s">
        <v>242</v>
      </c>
      <c r="E317" t="s">
        <v>318</v>
      </c>
      <c r="F317" t="s">
        <v>306</v>
      </c>
      <c r="G317" t="s">
        <v>245</v>
      </c>
    </row>
    <row r="318" spans="1:8" hidden="1" x14ac:dyDescent="0.2">
      <c r="A318" t="s">
        <v>23</v>
      </c>
      <c r="B318" t="s">
        <v>165</v>
      </c>
      <c r="C318" s="4">
        <f>(0.0260899569876454 / ( 0.0260899569876454 + 0.0904226503711535 + 0.00131543821211861))*0.0138780062427486%</f>
        <v>3.072923633700274E-5</v>
      </c>
      <c r="D318" t="s">
        <v>242</v>
      </c>
      <c r="E318" t="s">
        <v>316</v>
      </c>
      <c r="F318" t="s">
        <v>306</v>
      </c>
      <c r="G318" t="s">
        <v>245</v>
      </c>
    </row>
    <row r="319" spans="1:8" hidden="1" x14ac:dyDescent="0.2">
      <c r="A319" t="s">
        <v>23</v>
      </c>
      <c r="B319" t="s">
        <v>165</v>
      </c>
      <c r="C319" s="4">
        <f>(0.0904226503711535 / ( 0.0260899569876454 + 0.0904226503711535 + 0.00131543821211861))*0.0138780062427486%</f>
        <v>1.0650147851102735E-4</v>
      </c>
      <c r="D319" t="s">
        <v>242</v>
      </c>
      <c r="E319" t="s">
        <v>317</v>
      </c>
      <c r="F319" t="s">
        <v>306</v>
      </c>
      <c r="G319" t="s">
        <v>245</v>
      </c>
    </row>
    <row r="320" spans="1:8" hidden="1" x14ac:dyDescent="0.2">
      <c r="A320" t="s">
        <v>23</v>
      </c>
      <c r="B320" t="s">
        <v>165</v>
      </c>
      <c r="C320" s="4">
        <f>(0.00131543821211861 / ( 0.0260899569876454 + 0.0904226503711535 + 0.00131543821211861))*0.0138780062427486%</f>
        <v>1.5493475794559062E-6</v>
      </c>
      <c r="D320" t="s">
        <v>242</v>
      </c>
      <c r="E320" t="s">
        <v>318</v>
      </c>
      <c r="F320" t="s">
        <v>306</v>
      </c>
      <c r="G320" t="s">
        <v>245</v>
      </c>
    </row>
    <row r="321" spans="1:7" hidden="1" x14ac:dyDescent="0.2">
      <c r="A321" t="s">
        <v>23</v>
      </c>
      <c r="B321" t="s">
        <v>85</v>
      </c>
      <c r="C321" s="4">
        <f>(0.0260899569876454 / ( 0.0260899569876454 + 0.0904226503711535 + 0.00131543821211861))*1.75072831186781%</f>
        <v>3.8765326312904685E-3</v>
      </c>
      <c r="D321" t="s">
        <v>242</v>
      </c>
      <c r="E321" t="s">
        <v>316</v>
      </c>
      <c r="F321" t="s">
        <v>306</v>
      </c>
      <c r="G321" t="s">
        <v>245</v>
      </c>
    </row>
    <row r="322" spans="1:7" hidden="1" x14ac:dyDescent="0.2">
      <c r="A322" t="s">
        <v>23</v>
      </c>
      <c r="B322" t="s">
        <v>85</v>
      </c>
      <c r="C322" s="4">
        <f>(0.0904226503711535 / ( 0.0260899569876454 + 0.0904226503711535 + 0.00131543821211861))*1.75072831186781%</f>
        <v>1.3435298300320442E-2</v>
      </c>
      <c r="D322" t="s">
        <v>242</v>
      </c>
      <c r="E322" t="s">
        <v>317</v>
      </c>
      <c r="F322" t="s">
        <v>306</v>
      </c>
      <c r="G322" t="s">
        <v>245</v>
      </c>
    </row>
    <row r="323" spans="1:7" hidden="1" x14ac:dyDescent="0.2">
      <c r="A323" t="s">
        <v>23</v>
      </c>
      <c r="B323" t="s">
        <v>85</v>
      </c>
      <c r="C323" s="4">
        <f>(0.00131543821211861 / ( 0.0260899569876454 + 0.0904226503711535 + 0.00131543821211861))*1.75072831186781%</f>
        <v>1.9545218706718901E-4</v>
      </c>
      <c r="D323" t="s">
        <v>242</v>
      </c>
      <c r="E323" t="s">
        <v>318</v>
      </c>
      <c r="F323" t="s">
        <v>306</v>
      </c>
      <c r="G323" t="s">
        <v>245</v>
      </c>
    </row>
    <row r="324" spans="1:7" hidden="1" x14ac:dyDescent="0.2">
      <c r="A324" t="s">
        <v>23</v>
      </c>
      <c r="B324" t="s">
        <v>147</v>
      </c>
      <c r="C324" s="4">
        <f>(0.0260899569876454 / ( 0.0260899569876454 + 0.0904226503711535 + 0.00131543821211861))*0.343294964228557%</f>
        <v>7.6013743649915781E-4</v>
      </c>
      <c r="D324" t="s">
        <v>242</v>
      </c>
      <c r="E324" t="s">
        <v>316</v>
      </c>
      <c r="F324" t="s">
        <v>306</v>
      </c>
      <c r="G324" t="s">
        <v>245</v>
      </c>
    </row>
    <row r="325" spans="1:7" hidden="1" x14ac:dyDescent="0.2">
      <c r="A325" t="s">
        <v>23</v>
      </c>
      <c r="B325" t="s">
        <v>147</v>
      </c>
      <c r="C325" s="4">
        <f>(0.0904226503711535 / ( 0.0260899569876454 + 0.0904226503711535 + 0.00131543821211861))*0.343294964228557%</f>
        <v>2.6344865837508382E-3</v>
      </c>
      <c r="D325" t="s">
        <v>242</v>
      </c>
      <c r="E325" t="s">
        <v>317</v>
      </c>
      <c r="F325" t="s">
        <v>306</v>
      </c>
      <c r="G325" t="s">
        <v>245</v>
      </c>
    </row>
    <row r="326" spans="1:7" hidden="1" x14ac:dyDescent="0.2">
      <c r="A326" t="s">
        <v>23</v>
      </c>
      <c r="B326" t="s">
        <v>147</v>
      </c>
      <c r="C326" s="4">
        <f>(0.00131543821211861 / ( 0.0260899569876454 + 0.0904226503711535 + 0.00131543821211861))*0.343294964228557%</f>
        <v>3.832562203557381E-5</v>
      </c>
      <c r="D326" t="s">
        <v>242</v>
      </c>
      <c r="E326" t="s">
        <v>318</v>
      </c>
      <c r="F326" t="s">
        <v>306</v>
      </c>
      <c r="G326" t="s">
        <v>245</v>
      </c>
    </row>
    <row r="327" spans="1:7" hidden="1" x14ac:dyDescent="0.2">
      <c r="A327" t="s">
        <v>23</v>
      </c>
      <c r="B327" t="s">
        <v>116</v>
      </c>
      <c r="C327" s="4">
        <f>(0.0385427501095062/(0.0385427501095062+0.000558972017421674))*2.72987483706459%</f>
        <v>2.6908503756858979E-2</v>
      </c>
      <c r="D327" t="s">
        <v>271</v>
      </c>
      <c r="E327" t="s">
        <v>307</v>
      </c>
      <c r="F327" t="s">
        <v>306</v>
      </c>
      <c r="G327" t="s">
        <v>245</v>
      </c>
    </row>
    <row r="328" spans="1:7" hidden="1" x14ac:dyDescent="0.2">
      <c r="A328" t="s">
        <v>23</v>
      </c>
      <c r="B328" t="s">
        <v>116</v>
      </c>
      <c r="C328" s="4">
        <f>(0.000558972017421674/(0.0385427501095062+0.000558972017421674))*2.72987483706459%</f>
        <v>3.9024461378692367E-4</v>
      </c>
      <c r="D328" t="s">
        <v>289</v>
      </c>
      <c r="E328" t="s">
        <v>310</v>
      </c>
      <c r="F328" t="s">
        <v>306</v>
      </c>
      <c r="G328" t="s">
        <v>245</v>
      </c>
    </row>
    <row r="329" spans="1:7" hidden="1" x14ac:dyDescent="0.2">
      <c r="A329" t="s">
        <v>23</v>
      </c>
      <c r="B329" t="s">
        <v>145</v>
      </c>
      <c r="C329" s="4">
        <v>0.27366375184975622</v>
      </c>
      <c r="D329" t="s">
        <v>312</v>
      </c>
      <c r="E329" t="s">
        <v>307</v>
      </c>
      <c r="F329" t="s">
        <v>306</v>
      </c>
      <c r="G329" t="s">
        <v>245</v>
      </c>
    </row>
    <row r="330" spans="1:7" hidden="1" x14ac:dyDescent="0.2">
      <c r="A330" t="s">
        <v>23</v>
      </c>
      <c r="B330" t="s">
        <v>86</v>
      </c>
      <c r="C330" s="4">
        <v>8.1467672907797828E-2</v>
      </c>
      <c r="D330" t="s">
        <v>254</v>
      </c>
      <c r="E330" t="s">
        <v>307</v>
      </c>
      <c r="F330" t="s">
        <v>306</v>
      </c>
      <c r="G330" t="s">
        <v>245</v>
      </c>
    </row>
    <row r="331" spans="1:7" hidden="1" x14ac:dyDescent="0.2">
      <c r="A331" t="s">
        <v>23</v>
      </c>
      <c r="B331" t="s">
        <v>87</v>
      </c>
      <c r="C331" s="4">
        <f>(0.0260899569876454 / ( 0.0260899569876454 + 0.0904226503711535 + 0.00131543821211861))*0.0427255796983881%</f>
        <v>9.4604686957338024E-5</v>
      </c>
      <c r="D331" t="s">
        <v>242</v>
      </c>
      <c r="E331" t="s">
        <v>316</v>
      </c>
      <c r="F331" t="s">
        <v>306</v>
      </c>
      <c r="G331" t="s">
        <v>245</v>
      </c>
    </row>
    <row r="332" spans="1:7" hidden="1" x14ac:dyDescent="0.2">
      <c r="A332" t="s">
        <v>23</v>
      </c>
      <c r="B332" t="s">
        <v>87</v>
      </c>
      <c r="C332" s="4">
        <f>(0.0904226503711535 / ( 0.0260899569876454 + 0.0904226503711535 + 0.00131543821211861))*0.0427255796983881%</f>
        <v>3.2788120487383873E-4</v>
      </c>
      <c r="D332" t="s">
        <v>242</v>
      </c>
      <c r="E332" t="s">
        <v>317</v>
      </c>
      <c r="F332" t="s">
        <v>306</v>
      </c>
      <c r="G332" t="s">
        <v>245</v>
      </c>
    </row>
    <row r="333" spans="1:7" hidden="1" x14ac:dyDescent="0.2">
      <c r="A333" t="s">
        <v>23</v>
      </c>
      <c r="B333" t="s">
        <v>87</v>
      </c>
      <c r="C333" s="4">
        <f>(0.00131543821211861 / ( 0.0260899569876454 + 0.0904226503711535 + 0.00131543821211861))*0.0427255796983881%</f>
        <v>4.769905152704229E-6</v>
      </c>
      <c r="D333" t="s">
        <v>242</v>
      </c>
      <c r="E333" t="s">
        <v>318</v>
      </c>
      <c r="F333" t="s">
        <v>306</v>
      </c>
      <c r="G333" t="s">
        <v>245</v>
      </c>
    </row>
    <row r="334" spans="1:7" hidden="1" x14ac:dyDescent="0.2">
      <c r="A334" t="s">
        <v>23</v>
      </c>
      <c r="B334" t="s">
        <v>159</v>
      </c>
      <c r="C334" s="4">
        <v>6.8600138876150546E-2</v>
      </c>
      <c r="D334" t="s">
        <v>242</v>
      </c>
      <c r="E334" t="s">
        <v>290</v>
      </c>
      <c r="F334" t="s">
        <v>306</v>
      </c>
      <c r="G334" t="s">
        <v>245</v>
      </c>
    </row>
    <row r="335" spans="1:7" hidden="1" x14ac:dyDescent="0.2">
      <c r="A335" t="s">
        <v>23</v>
      </c>
      <c r="B335" t="s">
        <v>166</v>
      </c>
      <c r="C335" s="4">
        <f>(0.0260899569876454 / ( 0.0260899569876454 + 0.0904226503711535 + 0.00131543821211861))*0.00279039881803933%</f>
        <v>6.1786126374476362E-6</v>
      </c>
      <c r="D335" t="s">
        <v>242</v>
      </c>
      <c r="E335" t="s">
        <v>316</v>
      </c>
      <c r="F335" t="s">
        <v>306</v>
      </c>
      <c r="G335" t="s">
        <v>245</v>
      </c>
    </row>
    <row r="336" spans="1:7" hidden="1" x14ac:dyDescent="0.2">
      <c r="A336" t="s">
        <v>23</v>
      </c>
      <c r="B336" t="s">
        <v>166</v>
      </c>
      <c r="C336" s="4">
        <f>(0.0904226503711535 / ( 0.0260899569876454 + 0.0904226503711535 + 0.00131543821211861))*0.00279039881803933%</f>
        <v>2.1413854018972809E-5</v>
      </c>
      <c r="D336" t="s">
        <v>242</v>
      </c>
      <c r="E336" t="s">
        <v>317</v>
      </c>
      <c r="F336" t="s">
        <v>306</v>
      </c>
      <c r="G336" t="s">
        <v>245</v>
      </c>
    </row>
    <row r="337" spans="1:7" hidden="1" x14ac:dyDescent="0.2">
      <c r="A337" t="s">
        <v>23</v>
      </c>
      <c r="B337" t="s">
        <v>166</v>
      </c>
      <c r="C337" s="4">
        <f>(0.00131543821211861 / ( 0.0260899569876454 + 0.0904226503711535 + 0.00131543821211861))*0.00279039881803933%</f>
        <v>3.115215239728563E-7</v>
      </c>
      <c r="D337" t="s">
        <v>242</v>
      </c>
      <c r="E337" t="s">
        <v>318</v>
      </c>
      <c r="F337" t="s">
        <v>306</v>
      </c>
      <c r="G337" t="s">
        <v>245</v>
      </c>
    </row>
    <row r="338" spans="1:7" hidden="1" x14ac:dyDescent="0.2">
      <c r="A338" t="s">
        <v>23</v>
      </c>
      <c r="B338" t="s">
        <v>89</v>
      </c>
      <c r="C338" s="4">
        <f>(0.0260899569876454 / ( 0.0260899569876454 + 0.0904226503711535 + 0.00131543821211861))*0.0299987090561942%</f>
        <v>6.6424341095425396E-5</v>
      </c>
      <c r="D338" t="s">
        <v>242</v>
      </c>
      <c r="E338" t="s">
        <v>316</v>
      </c>
      <c r="F338" t="s">
        <v>306</v>
      </c>
      <c r="G338" t="s">
        <v>245</v>
      </c>
    </row>
    <row r="339" spans="1:7" hidden="1" x14ac:dyDescent="0.2">
      <c r="A339" t="s">
        <v>23</v>
      </c>
      <c r="B339" t="s">
        <v>89</v>
      </c>
      <c r="C339" s="4">
        <f>(0.0904226503711535 / ( 0.0260899569876454 + 0.0904226503711535 + 0.00131543821211861))*0.0299987090561942%</f>
        <v>2.3021367853730425E-4</v>
      </c>
      <c r="D339" t="s">
        <v>242</v>
      </c>
      <c r="E339" t="s">
        <v>317</v>
      </c>
      <c r="F339" t="s">
        <v>306</v>
      </c>
      <c r="G339" t="s">
        <v>245</v>
      </c>
    </row>
    <row r="340" spans="1:7" hidden="1" x14ac:dyDescent="0.2">
      <c r="A340" t="s">
        <v>23</v>
      </c>
      <c r="B340" t="s">
        <v>89</v>
      </c>
      <c r="C340" s="4">
        <f>(0.00131543821211861 / ( 0.0260899569876454 + 0.0904226503711535 + 0.00131543821211861))*0.0299987090561942%</f>
        <v>3.3490709292123217E-6</v>
      </c>
      <c r="D340" t="s">
        <v>242</v>
      </c>
      <c r="E340" t="s">
        <v>318</v>
      </c>
      <c r="F340" t="s">
        <v>306</v>
      </c>
      <c r="G340" t="s">
        <v>245</v>
      </c>
    </row>
    <row r="341" spans="1:7" hidden="1" x14ac:dyDescent="0.2">
      <c r="A341" t="s">
        <v>23</v>
      </c>
      <c r="B341" t="s">
        <v>167</v>
      </c>
      <c r="C341" s="4">
        <f>(0.0260899569876454 / ( 0.0260899569876454 + 0.0904226503711535 + 0.00131543821211861))*0.00903900884342149%</f>
        <v>2.0014534807324371E-5</v>
      </c>
      <c r="D341" t="s">
        <v>242</v>
      </c>
      <c r="E341" t="s">
        <v>316</v>
      </c>
      <c r="F341" t="s">
        <v>306</v>
      </c>
      <c r="G341" t="s">
        <v>245</v>
      </c>
    </row>
    <row r="342" spans="1:7" hidden="1" x14ac:dyDescent="0.2">
      <c r="A342" t="s">
        <v>23</v>
      </c>
      <c r="B342" t="s">
        <v>167</v>
      </c>
      <c r="C342" s="4">
        <f>(0.0904226503711535 / ( 0.0260899569876454 + 0.0904226503711535 + 0.00131543821211861))*0.00903900884342149%</f>
        <v>6.9366434144792503E-5</v>
      </c>
      <c r="D342" t="s">
        <v>242</v>
      </c>
      <c r="E342" t="s">
        <v>317</v>
      </c>
      <c r="F342" t="s">
        <v>306</v>
      </c>
      <c r="G342" t="s">
        <v>245</v>
      </c>
    </row>
    <row r="343" spans="1:7" hidden="1" x14ac:dyDescent="0.2">
      <c r="A343" t="s">
        <v>23</v>
      </c>
      <c r="B343" t="s">
        <v>167</v>
      </c>
      <c r="C343" s="4">
        <f>(0.00131543821211861 / ( 0.0260899569876454 + 0.0904226503711535 + 0.00131543821211861))*0.00903900884342149%</f>
        <v>1.0091194820980243E-6</v>
      </c>
      <c r="D343" t="s">
        <v>242</v>
      </c>
      <c r="E343" t="s">
        <v>318</v>
      </c>
      <c r="F343" t="s">
        <v>306</v>
      </c>
      <c r="G343" t="s">
        <v>245</v>
      </c>
    </row>
    <row r="344" spans="1:7" hidden="1" x14ac:dyDescent="0.2">
      <c r="A344" t="s">
        <v>23</v>
      </c>
      <c r="B344" t="s">
        <v>168</v>
      </c>
      <c r="C344" s="4">
        <f>(0.0260899569876454 / ( 0.0260899569876454 + 0.0904226503711535 + 0.00131543821211861))*0.0799039926004465%</f>
        <v>1.7692661538988748E-4</v>
      </c>
      <c r="D344" t="s">
        <v>242</v>
      </c>
      <c r="E344" t="s">
        <v>316</v>
      </c>
      <c r="F344" t="s">
        <v>306</v>
      </c>
      <c r="G344" t="s">
        <v>245</v>
      </c>
    </row>
    <row r="345" spans="1:7" hidden="1" x14ac:dyDescent="0.2">
      <c r="A345" t="s">
        <v>23</v>
      </c>
      <c r="B345" t="s">
        <v>168</v>
      </c>
      <c r="C345" s="4">
        <f>(0.0904226503711535 / ( 0.0260899569876454 + 0.0904226503711535 + 0.00131543821211861))*0.0799039926004465%</f>
        <v>6.1319278879329276E-4</v>
      </c>
      <c r="D345" t="s">
        <v>242</v>
      </c>
      <c r="E345" t="s">
        <v>317</v>
      </c>
      <c r="F345" t="s">
        <v>306</v>
      </c>
      <c r="G345" t="s">
        <v>245</v>
      </c>
    </row>
    <row r="346" spans="1:7" hidden="1" x14ac:dyDescent="0.2">
      <c r="A346" t="s">
        <v>23</v>
      </c>
      <c r="B346" t="s">
        <v>168</v>
      </c>
      <c r="C346" s="4">
        <f>(0.00131543821211861 / ( 0.0260899569876454 + 0.0904226503711535 + 0.00131543821211861))*0.0799039926004465%</f>
        <v>8.9205218212847172E-6</v>
      </c>
      <c r="D346" t="s">
        <v>242</v>
      </c>
      <c r="E346" t="s">
        <v>318</v>
      </c>
      <c r="F346" t="s">
        <v>306</v>
      </c>
      <c r="G346" t="s">
        <v>245</v>
      </c>
    </row>
    <row r="347" spans="1:7" hidden="1" x14ac:dyDescent="0.2">
      <c r="A347" t="s">
        <v>23</v>
      </c>
      <c r="B347" t="s">
        <v>154</v>
      </c>
      <c r="C347" s="4">
        <f>(0.0260899569876454 / ( 0.0260899569876454 + 0.0904226503711535 + 0.00131543821211861))*0.192178148899967%</f>
        <v>4.2552854156845962E-4</v>
      </c>
      <c r="D347" t="s">
        <v>242</v>
      </c>
      <c r="E347" t="s">
        <v>316</v>
      </c>
      <c r="F347" t="s">
        <v>306</v>
      </c>
      <c r="G347" t="s">
        <v>245</v>
      </c>
    </row>
    <row r="348" spans="1:7" hidden="1" x14ac:dyDescent="0.2">
      <c r="A348" t="s">
        <v>23</v>
      </c>
      <c r="B348" t="s">
        <v>154</v>
      </c>
      <c r="C348" s="4">
        <f>(0.0904226503711535 / ( 0.0260899569876454 + 0.0904226503711535 + 0.00131543821211861))*0.192178148899967%</f>
        <v>1.4747980824733526E-3</v>
      </c>
      <c r="D348" t="s">
        <v>242</v>
      </c>
      <c r="E348" t="s">
        <v>317</v>
      </c>
      <c r="F348" t="s">
        <v>306</v>
      </c>
      <c r="G348" t="s">
        <v>245</v>
      </c>
    </row>
    <row r="349" spans="1:7" hidden="1" x14ac:dyDescent="0.2">
      <c r="A349" t="s">
        <v>23</v>
      </c>
      <c r="B349" t="s">
        <v>154</v>
      </c>
      <c r="C349" s="4">
        <f>(0.00131543821211861 / ( 0.0260899569876454 + 0.0904226503711535 + 0.00131543821211861))*0.192178148899967%</f>
        <v>2.1454864957857937E-5</v>
      </c>
      <c r="D349" t="s">
        <v>242</v>
      </c>
      <c r="E349" t="s">
        <v>318</v>
      </c>
      <c r="F349" t="s">
        <v>306</v>
      </c>
      <c r="G349" t="s">
        <v>245</v>
      </c>
    </row>
    <row r="350" spans="1:7" hidden="1" x14ac:dyDescent="0.2">
      <c r="A350" t="s">
        <v>23</v>
      </c>
      <c r="B350" t="s">
        <v>169</v>
      </c>
      <c r="C350" s="4">
        <f>(0.0260899569876454 / ( 0.0260899569876454 + 0.0904226503711535 + 0.00131543821211861))*0.054221561605765%</f>
        <v>1.200595497653351E-4</v>
      </c>
      <c r="D350" t="s">
        <v>242</v>
      </c>
      <c r="E350" t="s">
        <v>316</v>
      </c>
      <c r="F350" t="s">
        <v>306</v>
      </c>
      <c r="G350" t="s">
        <v>245</v>
      </c>
    </row>
    <row r="351" spans="1:7" hidden="1" x14ac:dyDescent="0.2">
      <c r="A351" t="s">
        <v>23</v>
      </c>
      <c r="B351" t="s">
        <v>169</v>
      </c>
      <c r="C351" s="4">
        <f>(0.0904226503711535 / ( 0.0260899569876454 + 0.0904226503711535 + 0.00131543821211861))*0.054221561605765%</f>
        <v>4.1610274395200353E-4</v>
      </c>
      <c r="D351" t="s">
        <v>242</v>
      </c>
      <c r="E351" t="s">
        <v>317</v>
      </c>
      <c r="F351" t="s">
        <v>306</v>
      </c>
      <c r="G351" t="s">
        <v>245</v>
      </c>
    </row>
    <row r="352" spans="1:7" hidden="1" x14ac:dyDescent="0.2">
      <c r="A352" t="s">
        <v>23</v>
      </c>
      <c r="B352" t="s">
        <v>169</v>
      </c>
      <c r="C352" s="4">
        <f>(0.00131543821211861 / ( 0.0260899569876454 + 0.0904226503711535 + 0.00131543821211861))*0.054221561605765%</f>
        <v>6.0533223403114094E-6</v>
      </c>
      <c r="D352" t="s">
        <v>242</v>
      </c>
      <c r="E352" t="s">
        <v>318</v>
      </c>
      <c r="F352" t="s">
        <v>306</v>
      </c>
      <c r="G352" t="s">
        <v>245</v>
      </c>
    </row>
    <row r="353" spans="1:7" hidden="1" x14ac:dyDescent="0.2">
      <c r="A353" t="s">
        <v>23</v>
      </c>
      <c r="B353" t="s">
        <v>97</v>
      </c>
      <c r="C353" s="4">
        <f>(0.0260899569876454 / ( 0.0260899569876454 + 0.0904226503711535 + 0.00131543821211861))*0.135943541314934%</f>
        <v>3.010116249038625E-4</v>
      </c>
      <c r="D353" t="s">
        <v>242</v>
      </c>
      <c r="E353" t="s">
        <v>316</v>
      </c>
      <c r="F353" t="s">
        <v>306</v>
      </c>
      <c r="G353" t="s">
        <v>245</v>
      </c>
    </row>
    <row r="354" spans="1:7" hidden="1" x14ac:dyDescent="0.2">
      <c r="A354" t="s">
        <v>23</v>
      </c>
      <c r="B354" t="s">
        <v>97</v>
      </c>
      <c r="C354" s="4">
        <f>(0.0904226503711535 / ( 0.0260899569876454 + 0.0904226503711535 + 0.00131543821211861))*0.135943541314934%</f>
        <v>1.04324698309099E-3</v>
      </c>
      <c r="D354" t="s">
        <v>242</v>
      </c>
      <c r="E354" t="s">
        <v>317</v>
      </c>
      <c r="F354" t="s">
        <v>306</v>
      </c>
      <c r="G354" t="s">
        <v>245</v>
      </c>
    </row>
    <row r="355" spans="1:7" hidden="1" x14ac:dyDescent="0.2">
      <c r="A355" t="s">
        <v>23</v>
      </c>
      <c r="B355" t="s">
        <v>97</v>
      </c>
      <c r="C355" s="4">
        <f>(0.00131543821211861 / ( 0.0260899569876454 + 0.0904226503711535 + 0.00131543821211861))*0.135943541314934%</f>
        <v>1.5176805154487522E-5</v>
      </c>
      <c r="D355" t="s">
        <v>242</v>
      </c>
      <c r="E355" t="s">
        <v>318</v>
      </c>
      <c r="F355" t="s">
        <v>306</v>
      </c>
      <c r="G355" t="s">
        <v>245</v>
      </c>
    </row>
    <row r="356" spans="1:7" hidden="1" x14ac:dyDescent="0.2">
      <c r="A356" t="s">
        <v>23</v>
      </c>
      <c r="B356" t="s">
        <v>98</v>
      </c>
      <c r="C356" s="4">
        <v>2.792480086579234E-2</v>
      </c>
      <c r="D356" t="s">
        <v>288</v>
      </c>
      <c r="E356" t="s">
        <v>307</v>
      </c>
      <c r="F356" t="s">
        <v>306</v>
      </c>
      <c r="G356" t="s">
        <v>245</v>
      </c>
    </row>
    <row r="357" spans="1:7" hidden="1" x14ac:dyDescent="0.2">
      <c r="A357" t="s">
        <v>23</v>
      </c>
      <c r="B357" t="s">
        <v>99</v>
      </c>
      <c r="C357" s="4">
        <f>(0.0260899569876454 / ( 0.0260899569876454 + 0.0904226503711535 + 0.00131543821211861))*1.48611894295965%</f>
        <v>3.2906239862059011E-3</v>
      </c>
      <c r="D357" t="s">
        <v>242</v>
      </c>
      <c r="E357" t="s">
        <v>316</v>
      </c>
      <c r="F357" t="s">
        <v>306</v>
      </c>
      <c r="G357" t="s">
        <v>245</v>
      </c>
    </row>
    <row r="358" spans="1:7" hidden="1" x14ac:dyDescent="0.2">
      <c r="A358" t="s">
        <v>23</v>
      </c>
      <c r="B358" t="s">
        <v>99</v>
      </c>
      <c r="C358" s="4">
        <f>(0.0904226503711535 / ( 0.0260899569876454 + 0.0904226503711535 + 0.00131543821211861))*1.48611894295965%</f>
        <v>1.1404654379021306E-2</v>
      </c>
      <c r="D358" t="s">
        <v>242</v>
      </c>
      <c r="E358" t="s">
        <v>317</v>
      </c>
      <c r="F358" t="s">
        <v>306</v>
      </c>
      <c r="G358" t="s">
        <v>245</v>
      </c>
    </row>
    <row r="359" spans="1:7" hidden="1" x14ac:dyDescent="0.2">
      <c r="A359" t="s">
        <v>23</v>
      </c>
      <c r="B359" t="s">
        <v>99</v>
      </c>
      <c r="C359" s="4">
        <f>(0.00131543821211861 / ( 0.0260899569876454 + 0.0904226503711535 + 0.00131543821211861))*1.48611894295965%</f>
        <v>1.6591106436929232E-4</v>
      </c>
      <c r="D359" t="s">
        <v>242</v>
      </c>
      <c r="E359" t="s">
        <v>318</v>
      </c>
      <c r="F359" t="s">
        <v>306</v>
      </c>
      <c r="G359" t="s">
        <v>245</v>
      </c>
    </row>
    <row r="360" spans="1:7" hidden="1" x14ac:dyDescent="0.2">
      <c r="A360" t="s">
        <v>23</v>
      </c>
      <c r="B360" t="s">
        <v>102</v>
      </c>
      <c r="C360" s="4">
        <v>2.708820009619381E-2</v>
      </c>
      <c r="D360" t="s">
        <v>287</v>
      </c>
      <c r="E360" t="s">
        <v>307</v>
      </c>
      <c r="F360" t="s">
        <v>306</v>
      </c>
      <c r="G360" t="s">
        <v>245</v>
      </c>
    </row>
    <row r="361" spans="1:7" hidden="1" x14ac:dyDescent="0.2">
      <c r="A361" t="s">
        <v>23</v>
      </c>
      <c r="B361" t="s">
        <v>149</v>
      </c>
      <c r="C361" s="4">
        <f>(0.0260899569876454 / ( 0.0260899569876454 + 0.0904226503711535 + 0.00131543821211861))*0.00941663512974706%</f>
        <v>2.0850690029954164E-5</v>
      </c>
      <c r="D361" t="s">
        <v>242</v>
      </c>
      <c r="E361" t="s">
        <v>316</v>
      </c>
      <c r="F361" t="s">
        <v>306</v>
      </c>
      <c r="G361" t="s">
        <v>245</v>
      </c>
    </row>
    <row r="362" spans="1:7" hidden="1" x14ac:dyDescent="0.2">
      <c r="A362" t="s">
        <v>23</v>
      </c>
      <c r="B362" t="s">
        <v>149</v>
      </c>
      <c r="C362" s="4">
        <f>(0.0904226503711535 / ( 0.0260899569876454 + 0.0904226503711535 + 0.00131543821211861))*0.00941663512974706%</f>
        <v>7.2264383397360095E-5</v>
      </c>
      <c r="D362" t="s">
        <v>242</v>
      </c>
      <c r="E362" t="s">
        <v>317</v>
      </c>
      <c r="F362" t="s">
        <v>306</v>
      </c>
      <c r="G362" t="s">
        <v>245</v>
      </c>
    </row>
    <row r="363" spans="1:7" hidden="1" x14ac:dyDescent="0.2">
      <c r="A363" t="s">
        <v>23</v>
      </c>
      <c r="B363" t="s">
        <v>149</v>
      </c>
      <c r="C363" s="4">
        <f>(0.00131543821211861 / ( 0.0260899569876454 + 0.0904226503711535 + 0.00131543821211861))*0.00941663512974706%</f>
        <v>1.0512778701563343E-6</v>
      </c>
      <c r="D363" t="s">
        <v>242</v>
      </c>
      <c r="E363" t="s">
        <v>318</v>
      </c>
      <c r="F363" t="s">
        <v>306</v>
      </c>
      <c r="G363" t="s">
        <v>245</v>
      </c>
    </row>
    <row r="364" spans="1:7" hidden="1" x14ac:dyDescent="0.2">
      <c r="A364" t="s">
        <v>23</v>
      </c>
      <c r="B364" t="s">
        <v>170</v>
      </c>
      <c r="C364" s="4">
        <f>(0.0260899569876454 / ( 0.0260899569876454 + 0.0904226503711535 + 0.00131543821211861))*0.0320934299319951%</f>
        <v>7.106255581637443E-5</v>
      </c>
      <c r="D364" t="s">
        <v>242</v>
      </c>
      <c r="E364" t="s">
        <v>316</v>
      </c>
      <c r="F364" t="s">
        <v>306</v>
      </c>
      <c r="G364" t="s">
        <v>245</v>
      </c>
    </row>
    <row r="365" spans="1:7" hidden="1" x14ac:dyDescent="0.2">
      <c r="A365" t="s">
        <v>23</v>
      </c>
      <c r="B365" t="s">
        <v>170</v>
      </c>
      <c r="C365" s="4">
        <f>(0.0904226503711535 / ( 0.0260899569876454 + 0.0904226503711535 + 0.00131543821211861))*0.0320934299319951%</f>
        <v>2.4628881688488043E-4</v>
      </c>
      <c r="D365" t="s">
        <v>242</v>
      </c>
      <c r="E365" t="s">
        <v>317</v>
      </c>
      <c r="F365" t="s">
        <v>306</v>
      </c>
      <c r="G365" t="s">
        <v>245</v>
      </c>
    </row>
    <row r="366" spans="1:7" hidden="1" x14ac:dyDescent="0.2">
      <c r="A366" t="s">
        <v>23</v>
      </c>
      <c r="B366" t="s">
        <v>170</v>
      </c>
      <c r="C366" s="4">
        <f>(0.00131543821211861 / ( 0.0260899569876454 + 0.0904226503711535 + 0.00131543821211861))*0.0320934299319951%</f>
        <v>3.5829266186960801E-6</v>
      </c>
      <c r="D366" t="s">
        <v>242</v>
      </c>
      <c r="E366" t="s">
        <v>318</v>
      </c>
      <c r="F366" t="s">
        <v>306</v>
      </c>
      <c r="G366" t="s">
        <v>245</v>
      </c>
    </row>
    <row r="367" spans="1:7" hidden="1" x14ac:dyDescent="0.2">
      <c r="A367" t="s">
        <v>23</v>
      </c>
      <c r="B367" t="s">
        <v>171</v>
      </c>
      <c r="C367" s="4">
        <f>(0.0260899569876454 / ( 0.0260899569876454 + 0.0904226503711535 + 0.00131543821211861))*0.866560082528159%</f>
        <v>1.918771984277942E-3</v>
      </c>
      <c r="D367" t="s">
        <v>242</v>
      </c>
      <c r="E367" t="s">
        <v>316</v>
      </c>
      <c r="F367" t="s">
        <v>306</v>
      </c>
      <c r="G367" t="s">
        <v>245</v>
      </c>
    </row>
    <row r="368" spans="1:7" hidden="1" x14ac:dyDescent="0.2">
      <c r="A368" t="s">
        <v>23</v>
      </c>
      <c r="B368" t="s">
        <v>171</v>
      </c>
      <c r="C368" s="4">
        <f>(0.0904226503711535 / ( 0.0260899569876454 + 0.0904226503711535 + 0.00131543821211861))*0.866560082528159%</f>
        <v>6.6500856386420238E-3</v>
      </c>
      <c r="D368" t="s">
        <v>242</v>
      </c>
      <c r="E368" t="s">
        <v>317</v>
      </c>
      <c r="F368" t="s">
        <v>306</v>
      </c>
      <c r="G368" t="s">
        <v>245</v>
      </c>
    </row>
    <row r="369" spans="1:7" hidden="1" x14ac:dyDescent="0.2">
      <c r="A369" t="s">
        <v>23</v>
      </c>
      <c r="B369" t="s">
        <v>171</v>
      </c>
      <c r="C369" s="4">
        <f>(0.00131543821211861 / ( 0.0260899569876454 + 0.0904226503711535 + 0.00131543821211861))*0.866560082528159%</f>
        <v>9.674320236162433E-5</v>
      </c>
      <c r="D369" t="s">
        <v>242</v>
      </c>
      <c r="E369" t="s">
        <v>318</v>
      </c>
      <c r="F369" t="s">
        <v>306</v>
      </c>
      <c r="G369" t="s">
        <v>245</v>
      </c>
    </row>
    <row r="370" spans="1:7" hidden="1" x14ac:dyDescent="0.2">
      <c r="A370" t="s">
        <v>23</v>
      </c>
      <c r="B370" t="s">
        <v>172</v>
      </c>
      <c r="C370" s="4">
        <f>(0.0260899569876454 / ( 0.0260899569876454 + 0.0904226503711535 + 0.00131543821211861))*0.128648531732787%</f>
        <v>2.848587229949427E-4</v>
      </c>
      <c r="D370" t="s">
        <v>242</v>
      </c>
      <c r="E370" t="s">
        <v>316</v>
      </c>
      <c r="F370" t="s">
        <v>306</v>
      </c>
      <c r="G370" t="s">
        <v>245</v>
      </c>
    </row>
    <row r="371" spans="1:7" hidden="1" x14ac:dyDescent="0.2">
      <c r="A371" t="s">
        <v>23</v>
      </c>
      <c r="B371" t="s">
        <v>172</v>
      </c>
      <c r="C371" s="4">
        <f>(0.0904226503711535 / ( 0.0260899569876454 + 0.0904226503711535 + 0.00131543821211861))*0.128648531732787%</f>
        <v>9.8726420770805482E-4</v>
      </c>
      <c r="D371" t="s">
        <v>242</v>
      </c>
      <c r="E371" t="s">
        <v>317</v>
      </c>
      <c r="F371" t="s">
        <v>306</v>
      </c>
      <c r="G371" t="s">
        <v>245</v>
      </c>
    </row>
    <row r="372" spans="1:7" hidden="1" x14ac:dyDescent="0.2">
      <c r="A372" t="s">
        <v>23</v>
      </c>
      <c r="B372" t="s">
        <v>172</v>
      </c>
      <c r="C372" s="4">
        <f>(0.00131543821211861 / ( 0.0260899569876454 + 0.0904226503711535 + 0.00131543821211861))*0.128648531732787%</f>
        <v>1.4362386624872524E-5</v>
      </c>
      <c r="D372" t="s">
        <v>242</v>
      </c>
      <c r="E372" t="s">
        <v>318</v>
      </c>
      <c r="F372" t="s">
        <v>306</v>
      </c>
      <c r="G372" t="s">
        <v>245</v>
      </c>
    </row>
    <row r="373" spans="1:7" hidden="1" x14ac:dyDescent="0.2">
      <c r="A373" t="s">
        <v>23</v>
      </c>
      <c r="B373" t="s">
        <v>150</v>
      </c>
      <c r="C373" s="4">
        <f>(0.0260899569876454 / ( 0.0260899569876454 + 0.0904226503711535 + 0.00131543821211861))*3.54271685970208%</f>
        <v>7.8444253268550347E-3</v>
      </c>
      <c r="D373" t="s">
        <v>242</v>
      </c>
      <c r="E373" t="s">
        <v>316</v>
      </c>
      <c r="F373" t="s">
        <v>306</v>
      </c>
      <c r="G373" t="s">
        <v>245</v>
      </c>
    </row>
    <row r="374" spans="1:7" hidden="1" x14ac:dyDescent="0.2">
      <c r="A374" t="s">
        <v>23</v>
      </c>
      <c r="B374" t="s">
        <v>150</v>
      </c>
      <c r="C374" s="4">
        <f>(0.0904226503711535 / ( 0.0260899569876454 + 0.0904226503711535 + 0.00131543821211861))*3.54271685970208%</f>
        <v>2.718723258258807E-2</v>
      </c>
      <c r="D374" t="s">
        <v>242</v>
      </c>
      <c r="E374" t="s">
        <v>317</v>
      </c>
      <c r="F374" t="s">
        <v>306</v>
      </c>
      <c r="G374" t="s">
        <v>245</v>
      </c>
    </row>
    <row r="375" spans="1:7" hidden="1" x14ac:dyDescent="0.2">
      <c r="A375" t="s">
        <v>23</v>
      </c>
      <c r="B375" t="s">
        <v>150</v>
      </c>
      <c r="C375" s="4">
        <f>(0.00131543821211861 / ( 0.0260899569876454 + 0.0904226503711535 + 0.00131543821211861))*3.54271685970208%</f>
        <v>3.9551068757769537E-4</v>
      </c>
      <c r="D375" t="s">
        <v>242</v>
      </c>
      <c r="E375" t="s">
        <v>318</v>
      </c>
      <c r="F375" t="s">
        <v>306</v>
      </c>
      <c r="G375" t="s">
        <v>245</v>
      </c>
    </row>
    <row r="376" spans="1:7" hidden="1" x14ac:dyDescent="0.2">
      <c r="A376" t="s">
        <v>23</v>
      </c>
      <c r="B376" t="s">
        <v>173</v>
      </c>
      <c r="C376" s="4">
        <f>(0.0260899569876454 / ( 0.0260899569876454 + 0.0904226503711535 + 0.00131543821211861))*2.18391947162684%</f>
        <v>4.8357218184470179E-3</v>
      </c>
      <c r="D376" t="s">
        <v>242</v>
      </c>
      <c r="E376" t="s">
        <v>316</v>
      </c>
      <c r="F376" t="s">
        <v>306</v>
      </c>
      <c r="G376" t="s">
        <v>245</v>
      </c>
    </row>
    <row r="377" spans="1:7" hidden="1" x14ac:dyDescent="0.2">
      <c r="A377" t="s">
        <v>23</v>
      </c>
      <c r="B377" t="s">
        <v>173</v>
      </c>
      <c r="C377" s="4">
        <f>(0.0904226503711535 / ( 0.0260899569876454 + 0.0904226503711535 + 0.00131543821211861))*2.18391947162684%</f>
        <v>1.6759659032349196E-2</v>
      </c>
      <c r="D377" t="s">
        <v>242</v>
      </c>
      <c r="E377" t="s">
        <v>317</v>
      </c>
      <c r="F377" t="s">
        <v>306</v>
      </c>
      <c r="G377" t="s">
        <v>245</v>
      </c>
    </row>
    <row r="378" spans="1:7" hidden="1" x14ac:dyDescent="0.2">
      <c r="A378" t="s">
        <v>23</v>
      </c>
      <c r="B378" t="s">
        <v>173</v>
      </c>
      <c r="C378" s="4">
        <f>(0.00131543821211861 / ( 0.0260899569876454 + 0.0904226503711535 + 0.00131543821211861))*2.18391947162684%</f>
        <v>2.4381386547218611E-4</v>
      </c>
      <c r="D378" t="s">
        <v>242</v>
      </c>
      <c r="E378" t="s">
        <v>318</v>
      </c>
      <c r="F378" t="s">
        <v>306</v>
      </c>
      <c r="G378" t="s">
        <v>245</v>
      </c>
    </row>
    <row r="379" spans="1:7" hidden="1" x14ac:dyDescent="0.2">
      <c r="A379" t="s">
        <v>23</v>
      </c>
      <c r="B379" t="s">
        <v>161</v>
      </c>
      <c r="C379" s="4">
        <f>(0.0260899569876454 / ( 0.0260899569876454 + 0.0904226503711535 + 0.00131543821211861))*0.160274973432838%</f>
        <v>3.5488725479554704E-4</v>
      </c>
      <c r="D379" t="s">
        <v>242</v>
      </c>
      <c r="E379" t="s">
        <v>316</v>
      </c>
      <c r="F379" t="s">
        <v>306</v>
      </c>
      <c r="G379" t="s">
        <v>245</v>
      </c>
    </row>
    <row r="380" spans="1:7" hidden="1" x14ac:dyDescent="0.2">
      <c r="A380" t="s">
        <v>23</v>
      </c>
      <c r="B380" t="s">
        <v>161</v>
      </c>
      <c r="C380" s="4">
        <f>(0.0904226503711535 / ( 0.0260899569876454 + 0.0904226503711535 + 0.00131543821211861))*0.160274973432838%</f>
        <v>1.229969301089764E-3</v>
      </c>
      <c r="D380" t="s">
        <v>242</v>
      </c>
      <c r="E380" t="s">
        <v>317</v>
      </c>
      <c r="F380" t="s">
        <v>306</v>
      </c>
      <c r="G380" t="s">
        <v>245</v>
      </c>
    </row>
    <row r="381" spans="1:7" hidden="1" x14ac:dyDescent="0.2">
      <c r="A381" t="s">
        <v>23</v>
      </c>
      <c r="B381" t="s">
        <v>161</v>
      </c>
      <c r="C381" s="4">
        <f>(0.00131543821211861 / ( 0.0260899569876454 + 0.0904226503711535 + 0.00131543821211861))*0.160274973432838%</f>
        <v>1.789317844306907E-5</v>
      </c>
      <c r="D381" t="s">
        <v>242</v>
      </c>
      <c r="E381" t="s">
        <v>318</v>
      </c>
      <c r="F381" t="s">
        <v>306</v>
      </c>
      <c r="G381" t="s">
        <v>245</v>
      </c>
    </row>
    <row r="382" spans="1:7" hidden="1" x14ac:dyDescent="0.2">
      <c r="A382" t="s">
        <v>23</v>
      </c>
      <c r="B382" t="s">
        <v>174</v>
      </c>
      <c r="C382" s="4">
        <f>(0.0260899569876454 / ( 0.0260899569876454 + 0.0904226503711535 + 0.00131543821211861))*0.738917593344438%</f>
        <v>1.6361408809219141E-3</v>
      </c>
      <c r="D382" t="s">
        <v>242</v>
      </c>
      <c r="E382" t="s">
        <v>316</v>
      </c>
      <c r="F382" t="s">
        <v>306</v>
      </c>
      <c r="G382" t="s">
        <v>245</v>
      </c>
    </row>
    <row r="383" spans="1:7" hidden="1" x14ac:dyDescent="0.2">
      <c r="A383" t="s">
        <v>23</v>
      </c>
      <c r="B383" t="s">
        <v>174</v>
      </c>
      <c r="C383" s="4">
        <f>(0.0904226503711535 / ( 0.0260899569876454 + 0.0904226503711535 + 0.00131543821211861))*0.738917593344438%</f>
        <v>5.6705419216908099E-3</v>
      </c>
      <c r="D383" t="s">
        <v>242</v>
      </c>
      <c r="E383" t="s">
        <v>317</v>
      </c>
      <c r="F383" t="s">
        <v>306</v>
      </c>
      <c r="G383" t="s">
        <v>245</v>
      </c>
    </row>
    <row r="384" spans="1:7" hidden="1" x14ac:dyDescent="0.2">
      <c r="A384" t="s">
        <v>23</v>
      </c>
      <c r="B384" t="s">
        <v>174</v>
      </c>
      <c r="C384" s="4">
        <f>(0.00131543821211861 / ( 0.0260899569876454 + 0.0904226503711535 + 0.00131543821211861))*0.738917593344438%</f>
        <v>8.2493130831655254E-5</v>
      </c>
      <c r="D384" t="s">
        <v>242</v>
      </c>
      <c r="E384" t="s">
        <v>318</v>
      </c>
      <c r="F384" t="s">
        <v>306</v>
      </c>
      <c r="G384" t="s">
        <v>245</v>
      </c>
    </row>
    <row r="385" spans="1:7" hidden="1" x14ac:dyDescent="0.2">
      <c r="A385" t="s">
        <v>23</v>
      </c>
      <c r="B385" t="s">
        <v>175</v>
      </c>
      <c r="C385" s="4">
        <f>(0.0260899569876454 / ( 0.0260899569876454 + 0.0904226503711535 + 0.00131543821211861))*0.0579478586499649%</f>
        <v>1.2831046567718835E-4</v>
      </c>
      <c r="D385" t="s">
        <v>242</v>
      </c>
      <c r="E385" t="s">
        <v>316</v>
      </c>
      <c r="F385" t="s">
        <v>306</v>
      </c>
      <c r="G385" t="s">
        <v>245</v>
      </c>
    </row>
    <row r="386" spans="1:7" hidden="1" x14ac:dyDescent="0.2">
      <c r="A386" t="s">
        <v>23</v>
      </c>
      <c r="B386" t="s">
        <v>175</v>
      </c>
      <c r="C386" s="4">
        <f>(0.0904226503711535 / ( 0.0260899569876454 + 0.0904226503711535 + 0.00131543821211861))*0.0579478586499649%</f>
        <v>4.4469879281067306E-4</v>
      </c>
      <c r="D386" t="s">
        <v>242</v>
      </c>
      <c r="E386" t="s">
        <v>317</v>
      </c>
      <c r="F386" t="s">
        <v>306</v>
      </c>
      <c r="G386" t="s">
        <v>245</v>
      </c>
    </row>
    <row r="387" spans="1:7" hidden="1" x14ac:dyDescent="0.2">
      <c r="A387" t="s">
        <v>23</v>
      </c>
      <c r="B387" t="s">
        <v>175</v>
      </c>
      <c r="C387" s="4">
        <f>(0.00131543821211861 / ( 0.0260899569876454 + 0.0904226503711535 + 0.00131543821211861))*0.0579478586499649%</f>
        <v>6.4693280117875578E-6</v>
      </c>
      <c r="D387" t="s">
        <v>242</v>
      </c>
      <c r="E387" t="s">
        <v>318</v>
      </c>
      <c r="F387" t="s">
        <v>306</v>
      </c>
      <c r="G387" t="s">
        <v>245</v>
      </c>
    </row>
    <row r="388" spans="1:7" hidden="1" x14ac:dyDescent="0.2">
      <c r="A388" t="s">
        <v>23</v>
      </c>
      <c r="B388" t="s">
        <v>176</v>
      </c>
      <c r="C388" s="4">
        <f>(0.0260899569876454 / ( 0.0260899569876454 + 0.0904226503711535 + 0.00131543821211861))*0.0348751808198132%</f>
        <v>7.7222019860937344E-5</v>
      </c>
      <c r="D388" t="s">
        <v>242</v>
      </c>
      <c r="E388" t="s">
        <v>316</v>
      </c>
      <c r="F388" t="s">
        <v>306</v>
      </c>
      <c r="G388" t="s">
        <v>245</v>
      </c>
    </row>
    <row r="389" spans="1:7" hidden="1" x14ac:dyDescent="0.2">
      <c r="A389" t="s">
        <v>23</v>
      </c>
      <c r="B389" t="s">
        <v>176</v>
      </c>
      <c r="C389" s="4">
        <f>(0.0904226503711535 / ( 0.0260899569876454 + 0.0904226503711535 + 0.00131543821211861))*0.0348751808198132%</f>
        <v>2.6763630565379424E-4</v>
      </c>
      <c r="D389" t="s">
        <v>242</v>
      </c>
      <c r="E389" t="s">
        <v>317</v>
      </c>
      <c r="F389" t="s">
        <v>306</v>
      </c>
      <c r="G389" t="s">
        <v>245</v>
      </c>
    </row>
    <row r="390" spans="1:7" hidden="1" x14ac:dyDescent="0.2">
      <c r="A390" t="s">
        <v>23</v>
      </c>
      <c r="B390" t="s">
        <v>176</v>
      </c>
      <c r="C390" s="4">
        <f>(0.00131543821211861 / ( 0.0260899569876454 + 0.0904226503711535 + 0.00131543821211861))*0.0348751808198132%</f>
        <v>3.8934826834004222E-6</v>
      </c>
      <c r="D390" t="s">
        <v>242</v>
      </c>
      <c r="E390" t="s">
        <v>318</v>
      </c>
      <c r="F390" t="s">
        <v>306</v>
      </c>
      <c r="G390" t="s">
        <v>245</v>
      </c>
    </row>
    <row r="391" spans="1:7" hidden="1" x14ac:dyDescent="0.2">
      <c r="A391" t="s">
        <v>23</v>
      </c>
      <c r="B391" t="s">
        <v>106</v>
      </c>
      <c r="C391" s="4">
        <f>(0.0260899569876454 / ( 0.0260899569876454 + 0.0904226503711535 + 0.00131543821211861))*0.0649930391368328%</f>
        <v>1.4391018601388468E-4</v>
      </c>
      <c r="D391" t="s">
        <v>242</v>
      </c>
      <c r="E391" t="s">
        <v>316</v>
      </c>
      <c r="F391" t="s">
        <v>306</v>
      </c>
      <c r="G391" t="s">
        <v>245</v>
      </c>
    </row>
    <row r="392" spans="1:7" hidden="1" x14ac:dyDescent="0.2">
      <c r="A392" t="s">
        <v>23</v>
      </c>
      <c r="B392" t="s">
        <v>106</v>
      </c>
      <c r="C392" s="4">
        <f>(0.0904226503711535 / ( 0.0260899569876454 + 0.0904226503711535 + 0.00131543821211861))*0.0649930391368328%</f>
        <v>4.9876434985857555E-4</v>
      </c>
      <c r="D392" t="s">
        <v>242</v>
      </c>
      <c r="E392" t="s">
        <v>317</v>
      </c>
      <c r="F392" t="s">
        <v>306</v>
      </c>
      <c r="G392" t="s">
        <v>245</v>
      </c>
    </row>
    <row r="393" spans="1:7" hidden="1" x14ac:dyDescent="0.2">
      <c r="A393" t="s">
        <v>23</v>
      </c>
      <c r="B393" t="s">
        <v>106</v>
      </c>
      <c r="C393" s="4">
        <f>(0.00131543821211861 / ( 0.0260899569876454 + 0.0904226503711535 + 0.00131543821211861))*0.0649930391368328%</f>
        <v>7.2558554958677864E-6</v>
      </c>
      <c r="D393" t="s">
        <v>242</v>
      </c>
      <c r="E393" t="s">
        <v>318</v>
      </c>
      <c r="F393" t="s">
        <v>306</v>
      </c>
      <c r="G393" t="s">
        <v>245</v>
      </c>
    </row>
    <row r="394" spans="1:7" hidden="1" x14ac:dyDescent="0.2">
      <c r="A394" t="s">
        <v>23</v>
      </c>
      <c r="B394" t="s">
        <v>177</v>
      </c>
      <c r="C394" s="4">
        <f>(0.0260899569876454 / ( 0.0260899569876454 + 0.0904226503711535 + 0.00131543821211861))*0.657269601482717%</f>
        <v>1.455352632633622E-3</v>
      </c>
      <c r="D394" t="s">
        <v>242</v>
      </c>
      <c r="E394" t="s">
        <v>316</v>
      </c>
      <c r="F394" t="s">
        <v>306</v>
      </c>
      <c r="G394" t="s">
        <v>245</v>
      </c>
    </row>
    <row r="395" spans="1:7" hidden="1" x14ac:dyDescent="0.2">
      <c r="A395" t="s">
        <v>23</v>
      </c>
      <c r="B395" t="s">
        <v>177</v>
      </c>
      <c r="C395" s="4">
        <f>(0.0904226503711535 / ( 0.0260899569876454 + 0.0904226503711535 + 0.00131543821211861))*0.657269601482717%</f>
        <v>5.0439654741356596E-3</v>
      </c>
      <c r="D395" t="s">
        <v>242</v>
      </c>
      <c r="E395" t="s">
        <v>317</v>
      </c>
      <c r="F395" t="s">
        <v>306</v>
      </c>
      <c r="G395" t="s">
        <v>245</v>
      </c>
    </row>
    <row r="396" spans="1:7" hidden="1" x14ac:dyDescent="0.2">
      <c r="A396" t="s">
        <v>23</v>
      </c>
      <c r="B396" t="s">
        <v>177</v>
      </c>
      <c r="C396" s="4">
        <f>(0.00131543821211861 / ( 0.0260899569876454 + 0.0904226503711535 + 0.00131543821211861))*0.657269601482717%</f>
        <v>7.3377908057887495E-5</v>
      </c>
      <c r="D396" t="s">
        <v>242</v>
      </c>
      <c r="E396" t="s">
        <v>318</v>
      </c>
      <c r="F396" t="s">
        <v>306</v>
      </c>
      <c r="G396" t="s">
        <v>245</v>
      </c>
    </row>
    <row r="397" spans="1:7" hidden="1" x14ac:dyDescent="0.2">
      <c r="A397" t="s">
        <v>23</v>
      </c>
      <c r="B397" t="s">
        <v>155</v>
      </c>
      <c r="C397" s="4">
        <f>(0.0260899569876454 / ( 0.0260899569876454 + 0.0904226503711535 + 0.00131543821211861))*0.429325534950154%</f>
        <v>9.5062976613710702E-4</v>
      </c>
      <c r="D397" t="s">
        <v>242</v>
      </c>
      <c r="E397" t="s">
        <v>316</v>
      </c>
      <c r="F397" t="s">
        <v>306</v>
      </c>
      <c r="G397" t="s">
        <v>245</v>
      </c>
    </row>
    <row r="398" spans="1:7" hidden="1" x14ac:dyDescent="0.2">
      <c r="A398" t="s">
        <v>23</v>
      </c>
      <c r="B398" t="s">
        <v>155</v>
      </c>
      <c r="C398" s="4">
        <f>(0.0904226503711535 / ( 0.0260899569876454 + 0.0904226503711535 + 0.00131543821211861))*0.429325534950154%</f>
        <v>3.2946954652524601E-3</v>
      </c>
      <c r="D398" t="s">
        <v>242</v>
      </c>
      <c r="E398" t="s">
        <v>317</v>
      </c>
      <c r="F398" t="s">
        <v>306</v>
      </c>
      <c r="G398" t="s">
        <v>245</v>
      </c>
    </row>
    <row r="399" spans="1:7" hidden="1" x14ac:dyDescent="0.2">
      <c r="A399" t="s">
        <v>23</v>
      </c>
      <c r="B399" t="s">
        <v>155</v>
      </c>
      <c r="C399" s="4">
        <f>(0.00131543821211861 / ( 0.0260899569876454 + 0.0904226503711535 + 0.00131543821211861))*0.429325534950154%</f>
        <v>4.7930118111972571E-5</v>
      </c>
      <c r="D399" t="s">
        <v>242</v>
      </c>
      <c r="E399" t="s">
        <v>318</v>
      </c>
      <c r="F399" t="s">
        <v>306</v>
      </c>
      <c r="G399" t="s">
        <v>245</v>
      </c>
    </row>
    <row r="400" spans="1:7" hidden="1" x14ac:dyDescent="0.2">
      <c r="A400" t="s">
        <v>23</v>
      </c>
      <c r="B400" t="s">
        <v>146</v>
      </c>
      <c r="C400" s="4">
        <f>(0.0260899569876454 / ( 0.0260899569876454 + 0.0904226503711535 + 0.00131543821211861))*11.3263508343259%</f>
        <v>2.5079258903321831E-2</v>
      </c>
      <c r="D400" t="s">
        <v>242</v>
      </c>
      <c r="E400" t="s">
        <v>316</v>
      </c>
      <c r="F400" t="s">
        <v>306</v>
      </c>
      <c r="G400" t="s">
        <v>245</v>
      </c>
    </row>
    <row r="401" spans="1:7" hidden="1" x14ac:dyDescent="0.2">
      <c r="A401" t="s">
        <v>23</v>
      </c>
      <c r="B401" t="s">
        <v>146</v>
      </c>
      <c r="C401" s="4">
        <f>(0.0904226503711535 / ( 0.0260899569876454 + 0.0904226503711535 + 0.00131543821211861))*11.3263508343259%</f>
        <v>8.6919769950428327E-2</v>
      </c>
      <c r="D401" t="s">
        <v>242</v>
      </c>
      <c r="E401" t="s">
        <v>317</v>
      </c>
      <c r="F401" t="s">
        <v>306</v>
      </c>
      <c r="G401" t="s">
        <v>245</v>
      </c>
    </row>
    <row r="402" spans="1:7" hidden="1" x14ac:dyDescent="0.2">
      <c r="A402" t="s">
        <v>23</v>
      </c>
      <c r="B402" t="s">
        <v>146</v>
      </c>
      <c r="C402" s="4">
        <f>(0.00131543821211861 / ( 0.0260899569876454 + 0.0904226503711535 + 0.00131543821211861))*11.3263508343259%</f>
        <v>1.264479489508838E-3</v>
      </c>
      <c r="D402" t="s">
        <v>242</v>
      </c>
      <c r="E402" t="s">
        <v>318</v>
      </c>
      <c r="F402" t="s">
        <v>306</v>
      </c>
      <c r="G402" t="s">
        <v>245</v>
      </c>
    </row>
    <row r="403" spans="1:7" hidden="1" x14ac:dyDescent="0.2">
      <c r="A403" t="s">
        <v>23</v>
      </c>
      <c r="B403" t="s">
        <v>156</v>
      </c>
      <c r="C403" s="4">
        <f>(0.0260899569876454 / ( 0.0260899569876454 + 0.0904226503711535 + 0.00131543821211861))*0.309810178412085%</f>
        <v>6.8599408484978615E-4</v>
      </c>
      <c r="D403" t="s">
        <v>242</v>
      </c>
      <c r="E403" t="s">
        <v>316</v>
      </c>
      <c r="F403" t="s">
        <v>306</v>
      </c>
      <c r="G403" t="s">
        <v>245</v>
      </c>
    </row>
    <row r="404" spans="1:7" hidden="1" x14ac:dyDescent="0.2">
      <c r="A404" t="s">
        <v>23</v>
      </c>
      <c r="B404" t="s">
        <v>156</v>
      </c>
      <c r="C404" s="4">
        <f>(0.0904226503711535 / ( 0.0260899569876454 + 0.0904226503711535 + 0.00131543821211861))*0.309810178412085%</f>
        <v>2.3775203355231641E-3</v>
      </c>
      <c r="D404" t="s">
        <v>242</v>
      </c>
      <c r="E404" t="s">
        <v>317</v>
      </c>
      <c r="F404" t="s">
        <v>306</v>
      </c>
      <c r="G404" t="s">
        <v>245</v>
      </c>
    </row>
    <row r="405" spans="1:7" hidden="1" x14ac:dyDescent="0.2">
      <c r="A405" t="s">
        <v>23</v>
      </c>
      <c r="B405" t="s">
        <v>156</v>
      </c>
      <c r="C405" s="4">
        <f>(0.00131543821211861 / ( 0.0260899569876454 + 0.0904226503711535 + 0.00131543821211861))*0.309810178412085%</f>
        <v>3.458736374789953E-5</v>
      </c>
      <c r="D405" t="s">
        <v>242</v>
      </c>
      <c r="E405" t="s">
        <v>318</v>
      </c>
      <c r="F405" t="s">
        <v>306</v>
      </c>
      <c r="G405" t="s">
        <v>245</v>
      </c>
    </row>
    <row r="406" spans="1:7" hidden="1" x14ac:dyDescent="0.2">
      <c r="A406" t="s">
        <v>23</v>
      </c>
      <c r="B406" t="s">
        <v>151</v>
      </c>
      <c r="C406" s="4">
        <f>(0.0260899569876454 / ( 0.0260899569876454 + 0.0904226503711535 + 0.00131543821211861))*2.07002623061368%</f>
        <v>4.5835348501561428E-3</v>
      </c>
      <c r="D406" t="s">
        <v>242</v>
      </c>
      <c r="E406" t="s">
        <v>316</v>
      </c>
      <c r="F406" t="s">
        <v>306</v>
      </c>
      <c r="G406" t="s">
        <v>245</v>
      </c>
    </row>
    <row r="407" spans="1:7" hidden="1" x14ac:dyDescent="0.2">
      <c r="A407" t="s">
        <v>23</v>
      </c>
      <c r="B407" t="s">
        <v>151</v>
      </c>
      <c r="C407" s="4">
        <f>(0.0904226503711535 / ( 0.0260899569876454 + 0.0904226503711535 + 0.00131543821211861))*2.07002623061368%</f>
        <v>1.5885628689074761E-2</v>
      </c>
      <c r="D407" t="s">
        <v>242</v>
      </c>
      <c r="E407" t="s">
        <v>317</v>
      </c>
      <c r="F407" t="s">
        <v>306</v>
      </c>
      <c r="G407" t="s">
        <v>245</v>
      </c>
    </row>
    <row r="408" spans="1:7" hidden="1" x14ac:dyDescent="0.2">
      <c r="A408" t="s">
        <v>23</v>
      </c>
      <c r="B408" t="s">
        <v>151</v>
      </c>
      <c r="C408" s="4">
        <f>(0.00131543821211861 / ( 0.0260899569876454 + 0.0904226503711535 + 0.00131543821211861))*2.07002623061368%</f>
        <v>2.3109876690589675E-4</v>
      </c>
      <c r="D408" t="s">
        <v>242</v>
      </c>
      <c r="E408" t="s">
        <v>318</v>
      </c>
      <c r="F408" t="s">
        <v>306</v>
      </c>
      <c r="G408" t="s">
        <v>245</v>
      </c>
    </row>
    <row r="409" spans="1:7" hidden="1" x14ac:dyDescent="0.2">
      <c r="A409" t="s">
        <v>23</v>
      </c>
      <c r="B409" t="s">
        <v>178</v>
      </c>
      <c r="C409" s="4">
        <f>(0.0260899569876454 / ( 0.0260899569876454 + 0.0904226503711535 + 0.00131543821211861))*0.215623648610765%</f>
        <v>4.7744250450018042E-4</v>
      </c>
      <c r="D409" t="s">
        <v>242</v>
      </c>
      <c r="E409" t="s">
        <v>316</v>
      </c>
      <c r="F409" t="s">
        <v>306</v>
      </c>
      <c r="G409" t="s">
        <v>245</v>
      </c>
    </row>
    <row r="410" spans="1:7" hidden="1" x14ac:dyDescent="0.2">
      <c r="A410" t="s">
        <v>23</v>
      </c>
      <c r="B410" t="s">
        <v>178</v>
      </c>
      <c r="C410" s="4">
        <f>(0.0904226503711535 / ( 0.0260899569876454 + 0.0904226503711535 + 0.00131543821211861))*0.215623648610765%</f>
        <v>1.6547216492994266E-3</v>
      </c>
      <c r="D410" t="s">
        <v>242</v>
      </c>
      <c r="E410" t="s">
        <v>317</v>
      </c>
      <c r="F410" t="s">
        <v>306</v>
      </c>
      <c r="G410" t="s">
        <v>245</v>
      </c>
    </row>
    <row r="411" spans="1:7" hidden="1" x14ac:dyDescent="0.2">
      <c r="A411" t="s">
        <v>23</v>
      </c>
      <c r="B411" t="s">
        <v>178</v>
      </c>
      <c r="C411" s="4">
        <f>(0.00131543821211861 / ( 0.0260899569876454 + 0.0904226503711535 + 0.00131543821211861))*0.215623648610765%</f>
        <v>2.4072332308043004E-5</v>
      </c>
      <c r="D411" t="s">
        <v>242</v>
      </c>
      <c r="E411" t="s">
        <v>318</v>
      </c>
      <c r="F411" t="s">
        <v>306</v>
      </c>
      <c r="G411" t="s">
        <v>245</v>
      </c>
    </row>
    <row r="412" spans="1:7" hidden="1" x14ac:dyDescent="0.2">
      <c r="A412" t="s">
        <v>23</v>
      </c>
      <c r="B412" t="s">
        <v>120</v>
      </c>
      <c r="C412" s="4">
        <f>(0.0260899569876454 / ( 0.0260899569876454 + 0.0904226503711535 + 0.00131543821211861))*0.0418194687874338%</f>
        <v>9.2598339947312701E-5</v>
      </c>
      <c r="D412" t="s">
        <v>242</v>
      </c>
      <c r="E412" t="s">
        <v>316</v>
      </c>
      <c r="F412" t="s">
        <v>306</v>
      </c>
      <c r="G412" t="s">
        <v>245</v>
      </c>
    </row>
    <row r="413" spans="1:7" hidden="1" x14ac:dyDescent="0.2">
      <c r="A413" t="s">
        <v>23</v>
      </c>
      <c r="B413" t="s">
        <v>120</v>
      </c>
      <c r="C413" s="4">
        <f>(0.0904226503711535 / ( 0.0260899569876454 + 0.0904226503711535 + 0.00131543821211861))*0.0418194687874338%</f>
        <v>3.2092760145101056E-4</v>
      </c>
      <c r="D413" t="s">
        <v>242</v>
      </c>
      <c r="E413" t="s">
        <v>317</v>
      </c>
      <c r="F413" t="s">
        <v>306</v>
      </c>
      <c r="G413" t="s">
        <v>245</v>
      </c>
    </row>
    <row r="414" spans="1:7" hidden="1" x14ac:dyDescent="0.2">
      <c r="A414" t="s">
        <v>23</v>
      </c>
      <c r="B414" t="s">
        <v>120</v>
      </c>
      <c r="C414" s="4">
        <f>(0.00131543821211861 / ( 0.0260899569876454 + 0.0904226503711535 + 0.00131543821211861))*0.0418194687874338%</f>
        <v>4.6687464760146887E-6</v>
      </c>
      <c r="D414" t="s">
        <v>242</v>
      </c>
      <c r="E414" t="s">
        <v>318</v>
      </c>
      <c r="F414" t="s">
        <v>306</v>
      </c>
      <c r="G414" t="s">
        <v>245</v>
      </c>
    </row>
    <row r="415" spans="1:7" hidden="1" x14ac:dyDescent="0.2">
      <c r="A415" t="s">
        <v>23</v>
      </c>
      <c r="B415" t="s">
        <v>107</v>
      </c>
      <c r="C415" s="4">
        <v>4.1011367752319818E-2</v>
      </c>
      <c r="D415" t="s">
        <v>313</v>
      </c>
      <c r="E415" t="s">
        <v>307</v>
      </c>
      <c r="F415" t="s">
        <v>306</v>
      </c>
      <c r="G415" t="s">
        <v>245</v>
      </c>
    </row>
    <row r="416" spans="1:7" hidden="1" x14ac:dyDescent="0.2">
      <c r="A416" t="s">
        <v>23</v>
      </c>
      <c r="B416" t="s">
        <v>108</v>
      </c>
      <c r="C416" s="4">
        <f>(0.0260899569876454 / ( 0.0260899569876454 + 0.0904226503711535 + 0.00131543821211861))*0.300399308569152%</f>
        <v>6.6515616054842153E-4</v>
      </c>
      <c r="D416" t="s">
        <v>242</v>
      </c>
      <c r="E416" t="s">
        <v>316</v>
      </c>
      <c r="F416" t="s">
        <v>306</v>
      </c>
      <c r="G416" t="s">
        <v>245</v>
      </c>
    </row>
    <row r="417" spans="1:7" hidden="1" x14ac:dyDescent="0.2">
      <c r="A417" t="s">
        <v>23</v>
      </c>
      <c r="B417" t="s">
        <v>108</v>
      </c>
      <c r="C417" s="4">
        <f>(0.0904226503711535 / ( 0.0260899569876454 + 0.0904226503711535 + 0.00131543821211861))*0.300399308569152%</f>
        <v>2.3053001956258425E-3</v>
      </c>
      <c r="D417" t="s">
        <v>242</v>
      </c>
      <c r="E417" t="s">
        <v>317</v>
      </c>
      <c r="F417" t="s">
        <v>306</v>
      </c>
      <c r="G417" t="s">
        <v>245</v>
      </c>
    </row>
    <row r="418" spans="1:7" hidden="1" x14ac:dyDescent="0.2">
      <c r="A418" t="s">
        <v>23</v>
      </c>
      <c r="B418" t="s">
        <v>108</v>
      </c>
      <c r="C418" s="4">
        <f>(0.00131543821211861 / ( 0.0260899569876454 + 0.0904226503711535 + 0.00131543821211861))*0.300399308569152%</f>
        <v>3.3536729517255529E-5</v>
      </c>
      <c r="D418" t="s">
        <v>242</v>
      </c>
      <c r="E418" t="s">
        <v>318</v>
      </c>
      <c r="F418" t="s">
        <v>306</v>
      </c>
      <c r="G418" t="s">
        <v>245</v>
      </c>
    </row>
    <row r="419" spans="1:7" hidden="1" x14ac:dyDescent="0.2">
      <c r="A419" t="s">
        <v>23</v>
      </c>
      <c r="B419" t="s">
        <v>179</v>
      </c>
      <c r="C419" s="4">
        <f>(0.0260899569876454 / ( 0.0260899569876454 + 0.0904226503711535 + 0.00131543821211861))*0.293844177461486%</f>
        <v>6.5064152714185727E-4</v>
      </c>
      <c r="D419" t="s">
        <v>242</v>
      </c>
      <c r="E419" t="s">
        <v>316</v>
      </c>
      <c r="F419" t="s">
        <v>306</v>
      </c>
      <c r="G419" t="s">
        <v>245</v>
      </c>
    </row>
    <row r="420" spans="1:7" hidden="1" x14ac:dyDescent="0.2">
      <c r="A420" t="s">
        <v>23</v>
      </c>
      <c r="B420" t="s">
        <v>179</v>
      </c>
      <c r="C420" s="4">
        <f>(0.0904226503711535 / ( 0.0260899569876454 + 0.0904226503711535 + 0.00131543821211861))*0.293844177461486%</f>
        <v>2.2549953360812783E-3</v>
      </c>
      <c r="D420" t="s">
        <v>242</v>
      </c>
      <c r="E420" t="s">
        <v>317</v>
      </c>
      <c r="F420" t="s">
        <v>306</v>
      </c>
      <c r="G420" t="s">
        <v>245</v>
      </c>
    </row>
    <row r="421" spans="1:7" hidden="1" x14ac:dyDescent="0.2">
      <c r="A421" t="s">
        <v>23</v>
      </c>
      <c r="B421" t="s">
        <v>179</v>
      </c>
      <c r="C421" s="4">
        <f>(0.00131543821211861 / ( 0.0260899569876454 + 0.0904226503711535 + 0.00131543821211861))*0.293844177461486%</f>
        <v>3.2804911391724344E-5</v>
      </c>
      <c r="D421" t="s">
        <v>242</v>
      </c>
      <c r="E421" t="s">
        <v>318</v>
      </c>
      <c r="F421" t="s">
        <v>306</v>
      </c>
      <c r="G421" t="s">
        <v>245</v>
      </c>
    </row>
    <row r="422" spans="1:7" hidden="1" x14ac:dyDescent="0.2">
      <c r="A422" t="s">
        <v>23</v>
      </c>
      <c r="B422" t="s">
        <v>135</v>
      </c>
      <c r="C422" s="4">
        <f>(0.0260899569876454 / ( 0.0260899569876454 + 0.0904226503711535 + 0.00131543821211861))*0.000159506268524287%</f>
        <v>3.5318515765024417E-7</v>
      </c>
      <c r="D422" t="s">
        <v>242</v>
      </c>
      <c r="E422" t="s">
        <v>316</v>
      </c>
      <c r="F422" t="s">
        <v>306</v>
      </c>
      <c r="G422" t="s">
        <v>245</v>
      </c>
    </row>
    <row r="423" spans="1:7" hidden="1" x14ac:dyDescent="0.2">
      <c r="A423" t="s">
        <v>23</v>
      </c>
      <c r="B423" t="s">
        <v>135</v>
      </c>
      <c r="C423" s="4">
        <f>(0.0904226503711535 / ( 0.0260899569876454 + 0.0904226503711535 + 0.00131543821211861))*0.000159506268524287%</f>
        <v>1.2240701677512021E-6</v>
      </c>
      <c r="D423" t="s">
        <v>242</v>
      </c>
      <c r="E423" t="s">
        <v>317</v>
      </c>
      <c r="F423" t="s">
        <v>306</v>
      </c>
      <c r="G423" t="s">
        <v>245</v>
      </c>
    </row>
    <row r="424" spans="1:7" hidden="1" x14ac:dyDescent="0.2">
      <c r="A424" t="s">
        <v>23</v>
      </c>
      <c r="B424" t="s">
        <v>135</v>
      </c>
      <c r="C424" s="4">
        <f>(0.00131543821211861 / ( 0.0260899569876454 + 0.0904226503711535 + 0.00131543821211861))*0.000159506268524287%</f>
        <v>1.7807359841423631E-8</v>
      </c>
      <c r="D424" t="s">
        <v>242</v>
      </c>
      <c r="E424" t="s">
        <v>318</v>
      </c>
      <c r="F424" t="s">
        <v>306</v>
      </c>
      <c r="G424" t="s">
        <v>245</v>
      </c>
    </row>
    <row r="425" spans="1:7" hidden="1" x14ac:dyDescent="0.2">
      <c r="A425" t="s">
        <v>23</v>
      </c>
      <c r="B425" t="s">
        <v>137</v>
      </c>
      <c r="C425" s="4">
        <f>(0.0260899569876454 / ( 0.0260899569876454 + 0.0904226503711535 + 0.00131543821211861))*0.213583697959699%</f>
        <v>4.729255642008357E-4</v>
      </c>
      <c r="D425" t="s">
        <v>242</v>
      </c>
      <c r="E425" t="s">
        <v>316</v>
      </c>
      <c r="F425" t="s">
        <v>306</v>
      </c>
      <c r="G425" t="s">
        <v>245</v>
      </c>
    </row>
    <row r="426" spans="1:7" hidden="1" x14ac:dyDescent="0.2">
      <c r="A426" t="s">
        <v>23</v>
      </c>
      <c r="B426" t="s">
        <v>137</v>
      </c>
      <c r="C426" s="4">
        <f>(0.0904226503711535 / ( 0.0260899569876454 + 0.0904226503711535 + 0.00131543821211861))*0.213583697959699%</f>
        <v>1.639066824202228E-3</v>
      </c>
      <c r="D426" t="s">
        <v>242</v>
      </c>
      <c r="E426" t="s">
        <v>317</v>
      </c>
      <c r="F426" t="s">
        <v>306</v>
      </c>
      <c r="G426" t="s">
        <v>245</v>
      </c>
    </row>
    <row r="427" spans="1:7" hidden="1" x14ac:dyDescent="0.2">
      <c r="A427" t="s">
        <v>23</v>
      </c>
      <c r="B427" t="s">
        <v>137</v>
      </c>
      <c r="C427" s="4">
        <f>(0.00131543821211861 / ( 0.0260899569876454 + 0.0904226503711535 + 0.00131543821211861))*0.213583697959699%</f>
        <v>2.3844591193926558E-5</v>
      </c>
      <c r="D427" t="s">
        <v>242</v>
      </c>
      <c r="E427" t="s">
        <v>318</v>
      </c>
      <c r="F427" t="s">
        <v>306</v>
      </c>
      <c r="G427" t="s">
        <v>245</v>
      </c>
    </row>
    <row r="428" spans="1:7" hidden="1" x14ac:dyDescent="0.2">
      <c r="A428" t="s">
        <v>23</v>
      </c>
      <c r="B428" t="s">
        <v>121</v>
      </c>
      <c r="C428" s="4">
        <f>(0.0260899569876454 / ( 0.0260899569876454 + 0.0904226503711535 + 0.00131543821211861))*0.847191601476086%</f>
        <v>1.875885519080616E-3</v>
      </c>
      <c r="D428" t="s">
        <v>242</v>
      </c>
      <c r="E428" t="s">
        <v>316</v>
      </c>
      <c r="F428" t="s">
        <v>306</v>
      </c>
      <c r="G428" t="s">
        <v>245</v>
      </c>
    </row>
    <row r="429" spans="1:7" hidden="1" x14ac:dyDescent="0.2">
      <c r="A429" t="s">
        <v>23</v>
      </c>
      <c r="B429" t="s">
        <v>121</v>
      </c>
      <c r="C429" s="4">
        <f>(0.0904226503711535 / ( 0.0260899569876454 + 0.0904226503711535 + 0.00131543821211861))*0.847191601476086%</f>
        <v>6.5014496002603278E-3</v>
      </c>
      <c r="D429" t="s">
        <v>242</v>
      </c>
      <c r="E429" t="s">
        <v>317</v>
      </c>
      <c r="F429" t="s">
        <v>306</v>
      </c>
      <c r="G429" t="s">
        <v>245</v>
      </c>
    </row>
    <row r="430" spans="1:7" hidden="1" x14ac:dyDescent="0.2">
      <c r="A430" t="s">
        <v>23</v>
      </c>
      <c r="B430" t="s">
        <v>121</v>
      </c>
      <c r="C430" s="4">
        <f>(0.00131543821211861 / ( 0.0260899569876454 + 0.0904226503711535 + 0.00131543821211861))*0.847191601476086%</f>
        <v>9.4580895419915995E-5</v>
      </c>
      <c r="D430" t="s">
        <v>242</v>
      </c>
      <c r="E430" t="s">
        <v>318</v>
      </c>
      <c r="F430" t="s">
        <v>306</v>
      </c>
      <c r="G430" t="s">
        <v>245</v>
      </c>
    </row>
    <row r="431" spans="1:7" hidden="1" x14ac:dyDescent="0.2">
      <c r="A431" t="s">
        <v>23</v>
      </c>
      <c r="B431" t="s">
        <v>138</v>
      </c>
      <c r="C431" s="4">
        <f>(0.0260899569876454 / ( 0.0260899569876454 + 0.0904226503711535 + 0.00131543821211861))*0.478612011043023%</f>
        <v>1.0597618522296007E-3</v>
      </c>
      <c r="D431" t="s">
        <v>242</v>
      </c>
      <c r="E431" t="s">
        <v>316</v>
      </c>
      <c r="F431" t="s">
        <v>306</v>
      </c>
      <c r="G431" t="s">
        <v>245</v>
      </c>
    </row>
    <row r="432" spans="1:7" hidden="1" x14ac:dyDescent="0.2">
      <c r="A432" t="s">
        <v>23</v>
      </c>
      <c r="B432" t="s">
        <v>138</v>
      </c>
      <c r="C432" s="4">
        <f>(0.0904226503711535 / ( 0.0260899569876454 + 0.0904226503711535 + 0.00131543821211861))*0.478612011043023%</f>
        <v>3.6729257731709084E-3</v>
      </c>
      <c r="D432" t="s">
        <v>242</v>
      </c>
      <c r="E432" t="s">
        <v>317</v>
      </c>
      <c r="F432" t="s">
        <v>306</v>
      </c>
      <c r="G432" t="s">
        <v>245</v>
      </c>
    </row>
    <row r="433" spans="1:7" hidden="1" x14ac:dyDescent="0.2">
      <c r="A433" t="s">
        <v>23</v>
      </c>
      <c r="B433" t="s">
        <v>138</v>
      </c>
      <c r="C433" s="4">
        <f>(0.00131543821211861 / ( 0.0260899569876454 + 0.0904226503711535 + 0.00131543821211861))*0.478612011043023%</f>
        <v>5.343248502972042E-5</v>
      </c>
      <c r="D433" t="s">
        <v>242</v>
      </c>
      <c r="E433" t="s">
        <v>318</v>
      </c>
      <c r="F433" t="s">
        <v>306</v>
      </c>
      <c r="G433" t="s">
        <v>245</v>
      </c>
    </row>
    <row r="434" spans="1:7" hidden="1" x14ac:dyDescent="0.2">
      <c r="A434" t="s">
        <v>23</v>
      </c>
      <c r="B434" t="s">
        <v>139</v>
      </c>
      <c r="C434" s="4">
        <f>(0.0260899569876454 / ( 0.0260899569876454 + 0.0904226503711535 + 0.00131543821211861))*0.0108733309314508%</f>
        <v>2.4076164120302202E-5</v>
      </c>
      <c r="D434" t="s">
        <v>242</v>
      </c>
      <c r="E434" t="s">
        <v>316</v>
      </c>
      <c r="F434" t="s">
        <v>306</v>
      </c>
      <c r="G434" t="s">
        <v>245</v>
      </c>
    </row>
    <row r="435" spans="1:7" hidden="1" x14ac:dyDescent="0.2">
      <c r="A435" t="s">
        <v>23</v>
      </c>
      <c r="B435" t="s">
        <v>139</v>
      </c>
      <c r="C435" s="4">
        <f>(0.0904226503711535 / ( 0.0260899569876454 + 0.0904226503711535 + 0.00131543821211861))*0.0108733309314508%</f>
        <v>8.3443241073931414E-5</v>
      </c>
      <c r="D435" t="s">
        <v>242</v>
      </c>
      <c r="E435" t="s">
        <v>317</v>
      </c>
      <c r="F435" t="s">
        <v>306</v>
      </c>
      <c r="G435" t="s">
        <v>245</v>
      </c>
    </row>
    <row r="436" spans="1:7" hidden="1" x14ac:dyDescent="0.2">
      <c r="A436" t="s">
        <v>23</v>
      </c>
      <c r="B436" t="s">
        <v>139</v>
      </c>
      <c r="C436" s="4">
        <f>(0.00131543821211861 / ( 0.0260899569876454 + 0.0904226503711535 + 0.00131543821211861))*0.0108733309314508%</f>
        <v>1.2139041202743972E-6</v>
      </c>
      <c r="D436" t="s">
        <v>242</v>
      </c>
      <c r="E436" t="s">
        <v>318</v>
      </c>
      <c r="F436" t="s">
        <v>306</v>
      </c>
      <c r="G436" t="s">
        <v>245</v>
      </c>
    </row>
    <row r="437" spans="1:7" hidden="1" x14ac:dyDescent="0.2">
      <c r="A437" t="s">
        <v>23</v>
      </c>
      <c r="B437" t="s">
        <v>111</v>
      </c>
      <c r="C437" s="4">
        <f>(0.0260899569876454 / ( 0.0260899569876454 + 0.0904226503711535 + 0.00131543821211861))*0.232533234836611%</f>
        <v>5.1488438645397002E-4</v>
      </c>
      <c r="D437" t="s">
        <v>242</v>
      </c>
      <c r="E437" t="s">
        <v>316</v>
      </c>
      <c r="F437" t="s">
        <v>306</v>
      </c>
      <c r="G437" t="s">
        <v>245</v>
      </c>
    </row>
    <row r="438" spans="1:7" hidden="1" x14ac:dyDescent="0.2">
      <c r="A438" t="s">
        <v>23</v>
      </c>
      <c r="B438" t="s">
        <v>111</v>
      </c>
      <c r="C438" s="4">
        <f>(0.0904226503711535 / ( 0.0260899569876454 + 0.0904226503711535 + 0.00131543821211861))*0.232533234836611%</f>
        <v>1.7844878349144019E-3</v>
      </c>
      <c r="D438" t="s">
        <v>242</v>
      </c>
      <c r="E438" t="s">
        <v>317</v>
      </c>
      <c r="F438" t="s">
        <v>306</v>
      </c>
      <c r="G438" t="s">
        <v>245</v>
      </c>
    </row>
    <row r="439" spans="1:7" hidden="1" x14ac:dyDescent="0.2">
      <c r="A439" t="s">
        <v>23</v>
      </c>
      <c r="B439" t="s">
        <v>111</v>
      </c>
      <c r="C439" s="4">
        <f>(0.00131543821211861 / ( 0.0260899569876454 + 0.0904226503711535 + 0.00131543821211861))*0.232533234836611%</f>
        <v>2.5960126997738045E-5</v>
      </c>
      <c r="D439" t="s">
        <v>242</v>
      </c>
      <c r="E439" t="s">
        <v>318</v>
      </c>
      <c r="F439" t="s">
        <v>306</v>
      </c>
      <c r="G439" t="s">
        <v>245</v>
      </c>
    </row>
    <row r="440" spans="1:7" hidden="1" x14ac:dyDescent="0.2">
      <c r="A440" t="s">
        <v>23</v>
      </c>
      <c r="B440" t="s">
        <v>112</v>
      </c>
      <c r="C440" s="4">
        <f>(0.0260899569876454 / ( 0.0260899569876454 + 0.0904226503711535 + 0.00131543821211861))*0.43354956842264%</f>
        <v>9.5998278995054233E-4</v>
      </c>
      <c r="D440" t="s">
        <v>242</v>
      </c>
      <c r="E440" t="s">
        <v>316</v>
      </c>
      <c r="F440" t="s">
        <v>306</v>
      </c>
      <c r="G440" t="s">
        <v>245</v>
      </c>
    </row>
    <row r="441" spans="1:7" hidden="1" x14ac:dyDescent="0.2">
      <c r="A441" t="s">
        <v>23</v>
      </c>
      <c r="B441" t="s">
        <v>112</v>
      </c>
      <c r="C441" s="4">
        <f>(0.0904226503711535 / ( 0.0260899569876454 + 0.0904226503711535 + 0.00131543821211861))*0.43354956842264%</f>
        <v>3.3271112029478428E-3</v>
      </c>
      <c r="D441" t="s">
        <v>242</v>
      </c>
      <c r="E441" t="s">
        <v>317</v>
      </c>
      <c r="F441" t="s">
        <v>306</v>
      </c>
      <c r="G441" t="s">
        <v>245</v>
      </c>
    </row>
    <row r="442" spans="1:7" hidden="1" x14ac:dyDescent="0.2">
      <c r="A442" t="s">
        <v>23</v>
      </c>
      <c r="B442" t="s">
        <v>112</v>
      </c>
      <c r="C442" s="4">
        <f>(0.00131543821211861 / ( 0.0260899569876454 + 0.0904226503711535 + 0.00131543821211861))*0.43354956842264%</f>
        <v>4.8401691328014068E-5</v>
      </c>
      <c r="D442" t="s">
        <v>242</v>
      </c>
      <c r="E442" t="s">
        <v>318</v>
      </c>
      <c r="F442" t="s">
        <v>306</v>
      </c>
      <c r="G442" t="s">
        <v>245</v>
      </c>
    </row>
    <row r="443" spans="1:7" hidden="1" x14ac:dyDescent="0.2">
      <c r="A443" t="s">
        <v>23</v>
      </c>
      <c r="B443" t="s">
        <v>113</v>
      </c>
      <c r="C443" s="4">
        <v>5.928636607197893E-2</v>
      </c>
      <c r="D443" t="s">
        <v>277</v>
      </c>
      <c r="E443" t="s">
        <v>307</v>
      </c>
      <c r="F443" t="s">
        <v>306</v>
      </c>
      <c r="G443" t="s">
        <v>245</v>
      </c>
    </row>
    <row r="444" spans="1:7" hidden="1" x14ac:dyDescent="0.2">
      <c r="A444" t="s">
        <v>23</v>
      </c>
      <c r="B444" t="s">
        <v>180</v>
      </c>
      <c r="C444" s="4">
        <f>(0.0260899569876454 / ( 0.0260899569876454 + 0.0904226503711535 + 0.00131543821211861))*0.682129518225249%</f>
        <v>1.5103984543127008E-3</v>
      </c>
      <c r="D444" t="s">
        <v>242</v>
      </c>
      <c r="E444" t="s">
        <v>316</v>
      </c>
      <c r="F444" t="s">
        <v>306</v>
      </c>
      <c r="G444" t="s">
        <v>245</v>
      </c>
    </row>
    <row r="445" spans="1:7" hidden="1" x14ac:dyDescent="0.2">
      <c r="A445" t="s">
        <v>23</v>
      </c>
      <c r="B445" t="s">
        <v>180</v>
      </c>
      <c r="C445" s="4">
        <f>(0.0904226503711535 / ( 0.0260899569876454 + 0.0904226503711535 + 0.00131543821211861))*0.682129518225249%</f>
        <v>5.2347434463046894E-3</v>
      </c>
      <c r="D445" t="s">
        <v>242</v>
      </c>
      <c r="E445" t="s">
        <v>317</v>
      </c>
      <c r="F445" t="s">
        <v>306</v>
      </c>
      <c r="G445" t="s">
        <v>245</v>
      </c>
    </row>
    <row r="446" spans="1:7" hidden="1" x14ac:dyDescent="0.2">
      <c r="A446" t="s">
        <v>23</v>
      </c>
      <c r="B446" t="s">
        <v>180</v>
      </c>
      <c r="C446" s="4">
        <f>(0.00131543821211861 / ( 0.0260899569876454 + 0.0904226503711535 + 0.00131543821211861))*0.682129518225249%</f>
        <v>7.6153281635100211E-5</v>
      </c>
      <c r="D446" t="s">
        <v>242</v>
      </c>
      <c r="E446" t="s">
        <v>318</v>
      </c>
      <c r="F446" t="s">
        <v>306</v>
      </c>
      <c r="G446" t="s">
        <v>245</v>
      </c>
    </row>
    <row r="447" spans="1:7" hidden="1" x14ac:dyDescent="0.2">
      <c r="A447" t="s">
        <v>23</v>
      </c>
      <c r="B447" t="s">
        <v>115</v>
      </c>
      <c r="C447" s="4">
        <f>(0.0260899569876454 / ( 0.0260899569876454 + 0.0904226503711535 + 0.00131543821211861))*0.136674771859193%</f>
        <v>3.0263074481333147E-4</v>
      </c>
      <c r="D447" t="s">
        <v>242</v>
      </c>
      <c r="E447" t="s">
        <v>316</v>
      </c>
      <c r="F447" t="s">
        <v>306</v>
      </c>
      <c r="G447" t="s">
        <v>245</v>
      </c>
    </row>
    <row r="448" spans="1:7" hidden="1" x14ac:dyDescent="0.2">
      <c r="A448" t="s">
        <v>23</v>
      </c>
      <c r="B448" t="s">
        <v>115</v>
      </c>
      <c r="C448" s="4">
        <f>(0.0904226503711535 / ( 0.0260899569876454 + 0.0904226503711535 + 0.00131543821211861))*0.136674771859193%</f>
        <v>1.0488585336792956E-3</v>
      </c>
      <c r="D448" t="s">
        <v>242</v>
      </c>
      <c r="E448" t="s">
        <v>317</v>
      </c>
      <c r="F448" t="s">
        <v>306</v>
      </c>
      <c r="G448" t="s">
        <v>245</v>
      </c>
    </row>
    <row r="449" spans="1:7" hidden="1" x14ac:dyDescent="0.2">
      <c r="A449" t="s">
        <v>23</v>
      </c>
      <c r="B449" t="s">
        <v>115</v>
      </c>
      <c r="C449" s="4">
        <f>(0.00131543821211861 / ( 0.0260899569876454 + 0.0904226503711535 + 0.00131543821211861))*0.136674771859193%</f>
        <v>1.525844009930273E-5</v>
      </c>
      <c r="D449" t="s">
        <v>242</v>
      </c>
      <c r="E449" t="s">
        <v>318</v>
      </c>
      <c r="F449" t="s">
        <v>306</v>
      </c>
      <c r="G449" t="s">
        <v>245</v>
      </c>
    </row>
    <row r="450" spans="1:7" hidden="1" x14ac:dyDescent="0.2">
      <c r="A450" t="s">
        <v>23</v>
      </c>
      <c r="B450" t="s">
        <v>143</v>
      </c>
      <c r="C450" s="4">
        <v>3.9707673053851769E-2</v>
      </c>
      <c r="D450" t="s">
        <v>315</v>
      </c>
      <c r="E450" t="s">
        <v>307</v>
      </c>
      <c r="F450" t="s">
        <v>306</v>
      </c>
      <c r="G450" t="s">
        <v>245</v>
      </c>
    </row>
    <row r="451" spans="1:7" hidden="1" x14ac:dyDescent="0.2">
      <c r="A451" t="s">
        <v>23</v>
      </c>
      <c r="B451" t="s">
        <v>158</v>
      </c>
      <c r="C451" s="4">
        <f>(0.0260899569876454 / ( 0.0260899569876454 + 0.0904226503711535 + 0.00131543821211861))*0.0415091041806065%</f>
        <v>9.191111822489703E-5</v>
      </c>
      <c r="D451" t="s">
        <v>242</v>
      </c>
      <c r="E451" t="s">
        <v>316</v>
      </c>
      <c r="F451" t="s">
        <v>306</v>
      </c>
      <c r="G451" t="s">
        <v>245</v>
      </c>
    </row>
    <row r="452" spans="1:7" hidden="1" x14ac:dyDescent="0.2">
      <c r="A452" t="s">
        <v>23</v>
      </c>
      <c r="B452" t="s">
        <v>158</v>
      </c>
      <c r="C452" s="4">
        <f>(0.0904226503711535 / ( 0.0260899569876454 + 0.0904226503711535 + 0.00131543821211861))*0.0415091041806065%</f>
        <v>3.185458263655676E-4</v>
      </c>
      <c r="D452" t="s">
        <v>242</v>
      </c>
      <c r="E452" t="s">
        <v>317</v>
      </c>
      <c r="F452" t="s">
        <v>306</v>
      </c>
      <c r="G452" t="s">
        <v>245</v>
      </c>
    </row>
    <row r="453" spans="1:7" hidden="1" x14ac:dyDescent="0.2">
      <c r="A453" t="s">
        <v>23</v>
      </c>
      <c r="B453" t="s">
        <v>158</v>
      </c>
      <c r="C453" s="4">
        <f>(0.00131543821211861 / ( 0.0260899569876454 + 0.0904226503711535 + 0.00131543821211861))*0.0415091041806065%</f>
        <v>4.6340972156003608E-6</v>
      </c>
      <c r="D453" t="s">
        <v>242</v>
      </c>
      <c r="E453" t="s">
        <v>318</v>
      </c>
      <c r="F453" t="s">
        <v>306</v>
      </c>
      <c r="G453" t="s">
        <v>245</v>
      </c>
    </row>
    <row r="454" spans="1:7" hidden="1" x14ac:dyDescent="0.2">
      <c r="A454" t="s">
        <v>24</v>
      </c>
      <c r="B454" t="s">
        <v>164</v>
      </c>
      <c r="C454" s="4">
        <v>2.4480106062796852E-4</v>
      </c>
      <c r="D454" t="s">
        <v>256</v>
      </c>
      <c r="E454" t="s">
        <v>320</v>
      </c>
      <c r="F454" t="s">
        <v>321</v>
      </c>
      <c r="G454" t="s">
        <v>245</v>
      </c>
    </row>
    <row r="455" spans="1:7" hidden="1" x14ac:dyDescent="0.2">
      <c r="A455" t="s">
        <v>24</v>
      </c>
      <c r="B455" t="s">
        <v>83</v>
      </c>
      <c r="C455" s="4">
        <v>2.2311936760906131E-2</v>
      </c>
      <c r="D455" t="s">
        <v>256</v>
      </c>
      <c r="E455" t="s">
        <v>320</v>
      </c>
      <c r="F455" t="s">
        <v>321</v>
      </c>
      <c r="G455" t="s">
        <v>245</v>
      </c>
    </row>
    <row r="456" spans="1:7" hidden="1" x14ac:dyDescent="0.2">
      <c r="A456" t="s">
        <v>24</v>
      </c>
      <c r="B456" t="s">
        <v>85</v>
      </c>
      <c r="C456" s="4">
        <v>5.7056161386664249E-3</v>
      </c>
      <c r="D456" t="s">
        <v>256</v>
      </c>
      <c r="E456" t="s">
        <v>320</v>
      </c>
      <c r="F456" t="s">
        <v>321</v>
      </c>
      <c r="G456" t="s">
        <v>245</v>
      </c>
    </row>
    <row r="457" spans="1:7" hidden="1" x14ac:dyDescent="0.2">
      <c r="A457" t="s">
        <v>24</v>
      </c>
      <c r="B457" t="s">
        <v>147</v>
      </c>
      <c r="C457" s="4">
        <v>1.6585793533974231E-2</v>
      </c>
      <c r="D457" t="s">
        <v>256</v>
      </c>
      <c r="E457" t="s">
        <v>320</v>
      </c>
      <c r="F457" t="s">
        <v>321</v>
      </c>
      <c r="G457" t="s">
        <v>245</v>
      </c>
    </row>
    <row r="458" spans="1:7" hidden="1" x14ac:dyDescent="0.2">
      <c r="A458" t="s">
        <v>24</v>
      </c>
      <c r="B458" t="s">
        <v>116</v>
      </c>
      <c r="C458" s="4">
        <v>1.699258391821858E-2</v>
      </c>
      <c r="D458" t="s">
        <v>256</v>
      </c>
      <c r="E458" t="s">
        <v>320</v>
      </c>
      <c r="F458" t="s">
        <v>321</v>
      </c>
      <c r="G458" t="s">
        <v>245</v>
      </c>
    </row>
    <row r="459" spans="1:7" hidden="1" x14ac:dyDescent="0.2">
      <c r="A459" t="s">
        <v>24</v>
      </c>
      <c r="B459" t="s">
        <v>145</v>
      </c>
      <c r="C459" s="4">
        <v>6.9574051078194976E-2</v>
      </c>
      <c r="D459" t="s">
        <v>312</v>
      </c>
      <c r="E459" t="s">
        <v>320</v>
      </c>
      <c r="F459" t="s">
        <v>321</v>
      </c>
      <c r="G459" t="s">
        <v>245</v>
      </c>
    </row>
    <row r="460" spans="1:7" hidden="1" x14ac:dyDescent="0.2">
      <c r="A460" t="s">
        <v>24</v>
      </c>
      <c r="B460" t="s">
        <v>86</v>
      </c>
      <c r="C460" s="4">
        <v>0.41947375673311349</v>
      </c>
      <c r="D460" t="s">
        <v>254</v>
      </c>
      <c r="E460" t="s">
        <v>320</v>
      </c>
      <c r="F460" t="s">
        <v>321</v>
      </c>
      <c r="G460" t="s">
        <v>245</v>
      </c>
    </row>
    <row r="461" spans="1:7" hidden="1" x14ac:dyDescent="0.2">
      <c r="A461" t="s">
        <v>24</v>
      </c>
      <c r="B461" t="s">
        <v>159</v>
      </c>
      <c r="C461" s="4">
        <v>3.2801138187772052E-3</v>
      </c>
      <c r="D461" t="s">
        <v>242</v>
      </c>
      <c r="E461" t="s">
        <v>290</v>
      </c>
      <c r="F461" t="s">
        <v>321</v>
      </c>
      <c r="G461" t="s">
        <v>245</v>
      </c>
    </row>
    <row r="462" spans="1:7" hidden="1" x14ac:dyDescent="0.2">
      <c r="A462" t="s">
        <v>24</v>
      </c>
      <c r="B462" t="s">
        <v>154</v>
      </c>
      <c r="C462" s="4">
        <v>8.0830538886593386E-3</v>
      </c>
      <c r="D462" t="s">
        <v>256</v>
      </c>
      <c r="E462" t="s">
        <v>320</v>
      </c>
      <c r="F462" t="s">
        <v>321</v>
      </c>
      <c r="G462" t="s">
        <v>245</v>
      </c>
    </row>
    <row r="463" spans="1:7" hidden="1" x14ac:dyDescent="0.2">
      <c r="A463" t="s">
        <v>24</v>
      </c>
      <c r="B463" t="s">
        <v>117</v>
      </c>
      <c r="C463" s="4">
        <v>1.8112136704827669E-2</v>
      </c>
      <c r="D463" t="s">
        <v>256</v>
      </c>
      <c r="E463" t="s">
        <v>320</v>
      </c>
      <c r="F463" t="s">
        <v>321</v>
      </c>
      <c r="G463" t="s">
        <v>245</v>
      </c>
    </row>
    <row r="464" spans="1:7" hidden="1" x14ac:dyDescent="0.2">
      <c r="A464" t="s">
        <v>24</v>
      </c>
      <c r="B464" t="s">
        <v>97</v>
      </c>
      <c r="C464" s="4">
        <v>2.6518747210349951E-2</v>
      </c>
      <c r="D464" t="s">
        <v>309</v>
      </c>
      <c r="E464" t="s">
        <v>320</v>
      </c>
      <c r="F464" t="s">
        <v>321</v>
      </c>
      <c r="G464" t="s">
        <v>245</v>
      </c>
    </row>
    <row r="465" spans="1:7" hidden="1" x14ac:dyDescent="0.2">
      <c r="A465" t="s">
        <v>24</v>
      </c>
      <c r="B465" t="s">
        <v>98</v>
      </c>
      <c r="C465" s="4">
        <v>1.533377010350459E-2</v>
      </c>
      <c r="D465" t="s">
        <v>323</v>
      </c>
      <c r="E465" t="s">
        <v>320</v>
      </c>
      <c r="F465" t="s">
        <v>321</v>
      </c>
      <c r="G465" t="s">
        <v>245</v>
      </c>
    </row>
    <row r="466" spans="1:7" hidden="1" x14ac:dyDescent="0.2">
      <c r="A466" t="s">
        <v>24</v>
      </c>
      <c r="B466" t="s">
        <v>99</v>
      </c>
      <c r="C466" s="4">
        <v>1.159997363716956E-2</v>
      </c>
      <c r="D466" t="s">
        <v>256</v>
      </c>
      <c r="E466" t="s">
        <v>320</v>
      </c>
      <c r="F466" t="s">
        <v>321</v>
      </c>
      <c r="G466" t="s">
        <v>245</v>
      </c>
    </row>
    <row r="467" spans="1:7" hidden="1" x14ac:dyDescent="0.2">
      <c r="A467" t="s">
        <v>24</v>
      </c>
      <c r="B467" t="s">
        <v>119</v>
      </c>
      <c r="C467" s="4">
        <v>7.1247624232786883E-2</v>
      </c>
      <c r="D467" t="s">
        <v>256</v>
      </c>
      <c r="E467" t="s">
        <v>320</v>
      </c>
      <c r="F467" t="s">
        <v>321</v>
      </c>
      <c r="G467" t="s">
        <v>245</v>
      </c>
    </row>
    <row r="468" spans="1:7" hidden="1" x14ac:dyDescent="0.2">
      <c r="A468" t="s">
        <v>24</v>
      </c>
      <c r="B468" t="s">
        <v>102</v>
      </c>
      <c r="C468" s="4">
        <v>1.778154624846771E-2</v>
      </c>
      <c r="D468" t="s">
        <v>256</v>
      </c>
      <c r="E468" t="s">
        <v>320</v>
      </c>
      <c r="F468" t="s">
        <v>321</v>
      </c>
      <c r="G468" t="s">
        <v>245</v>
      </c>
    </row>
    <row r="469" spans="1:7" hidden="1" x14ac:dyDescent="0.2">
      <c r="A469" t="s">
        <v>24</v>
      </c>
      <c r="B469" t="s">
        <v>148</v>
      </c>
      <c r="C469" s="4">
        <v>3.2284150984741043E-2</v>
      </c>
      <c r="D469" t="s">
        <v>256</v>
      </c>
      <c r="E469" t="s">
        <v>320</v>
      </c>
      <c r="F469" t="s">
        <v>321</v>
      </c>
      <c r="G469" t="s">
        <v>245</v>
      </c>
    </row>
    <row r="470" spans="1:7" hidden="1" x14ac:dyDescent="0.2">
      <c r="A470" t="s">
        <v>24</v>
      </c>
      <c r="B470" t="s">
        <v>150</v>
      </c>
      <c r="C470" s="4">
        <v>1.6301673310557919E-2</v>
      </c>
      <c r="D470" t="s">
        <v>256</v>
      </c>
      <c r="E470" t="s">
        <v>320</v>
      </c>
      <c r="F470" t="s">
        <v>321</v>
      </c>
      <c r="G470" t="s">
        <v>245</v>
      </c>
    </row>
    <row r="471" spans="1:7" hidden="1" x14ac:dyDescent="0.2">
      <c r="A471" t="s">
        <v>24</v>
      </c>
      <c r="B471" t="s">
        <v>175</v>
      </c>
      <c r="C471" s="4">
        <v>2.640022701482515E-3</v>
      </c>
      <c r="D471" t="s">
        <v>256</v>
      </c>
      <c r="E471" t="s">
        <v>320</v>
      </c>
      <c r="F471" t="s">
        <v>321</v>
      </c>
      <c r="G471" t="s">
        <v>245</v>
      </c>
    </row>
    <row r="472" spans="1:7" hidden="1" x14ac:dyDescent="0.2">
      <c r="A472" t="s">
        <v>24</v>
      </c>
      <c r="B472" t="s">
        <v>132</v>
      </c>
      <c r="C472" s="4">
        <v>1.241554732684909E-3</v>
      </c>
      <c r="D472" t="s">
        <v>256</v>
      </c>
      <c r="E472" t="s">
        <v>320</v>
      </c>
      <c r="F472" t="s">
        <v>321</v>
      </c>
      <c r="G472" t="s">
        <v>245</v>
      </c>
    </row>
    <row r="473" spans="1:7" hidden="1" x14ac:dyDescent="0.2">
      <c r="A473" t="s">
        <v>24</v>
      </c>
      <c r="B473" t="s">
        <v>133</v>
      </c>
      <c r="C473" s="4">
        <v>3.0948893786889999E-6</v>
      </c>
      <c r="D473" t="s">
        <v>256</v>
      </c>
      <c r="E473" t="s">
        <v>320</v>
      </c>
      <c r="F473" t="s">
        <v>321</v>
      </c>
      <c r="G473" t="s">
        <v>245</v>
      </c>
    </row>
    <row r="474" spans="1:7" hidden="1" x14ac:dyDescent="0.2">
      <c r="A474" t="s">
        <v>24</v>
      </c>
      <c r="B474" t="s">
        <v>106</v>
      </c>
      <c r="C474" s="4">
        <v>7.2494266776041306E-4</v>
      </c>
      <c r="D474" t="s">
        <v>256</v>
      </c>
      <c r="E474" t="s">
        <v>320</v>
      </c>
      <c r="F474" t="s">
        <v>321</v>
      </c>
      <c r="G474" t="s">
        <v>245</v>
      </c>
    </row>
    <row r="475" spans="1:7" hidden="1" x14ac:dyDescent="0.2">
      <c r="A475" t="s">
        <v>24</v>
      </c>
      <c r="B475" t="s">
        <v>146</v>
      </c>
      <c r="C475" s="4">
        <v>1.910573687217678E-2</v>
      </c>
      <c r="D475" t="s">
        <v>256</v>
      </c>
      <c r="E475" t="s">
        <v>320</v>
      </c>
      <c r="F475" t="s">
        <v>321</v>
      </c>
      <c r="G475" t="s">
        <v>245</v>
      </c>
    </row>
    <row r="476" spans="1:7" hidden="1" x14ac:dyDescent="0.2">
      <c r="A476" t="s">
        <v>24</v>
      </c>
      <c r="B476" t="s">
        <v>156</v>
      </c>
      <c r="C476" s="4">
        <v>1.284496322814218E-2</v>
      </c>
      <c r="D476" t="s">
        <v>256</v>
      </c>
      <c r="E476" t="s">
        <v>320</v>
      </c>
      <c r="F476" t="s">
        <v>321</v>
      </c>
      <c r="G476" t="s">
        <v>245</v>
      </c>
    </row>
    <row r="477" spans="1:7" hidden="1" x14ac:dyDescent="0.2">
      <c r="A477" t="s">
        <v>24</v>
      </c>
      <c r="B477" t="s">
        <v>151</v>
      </c>
      <c r="C477" s="4">
        <v>2.7597046528309011E-2</v>
      </c>
      <c r="D477" t="s">
        <v>256</v>
      </c>
      <c r="E477" t="s">
        <v>320</v>
      </c>
      <c r="F477" t="s">
        <v>321</v>
      </c>
      <c r="G477" t="s">
        <v>245</v>
      </c>
    </row>
    <row r="478" spans="1:7" hidden="1" x14ac:dyDescent="0.2">
      <c r="A478" t="s">
        <v>24</v>
      </c>
      <c r="B478" t="s">
        <v>107</v>
      </c>
      <c r="C478" s="4">
        <v>4.8354129622267109E-2</v>
      </c>
      <c r="D478" t="s">
        <v>313</v>
      </c>
      <c r="E478" t="s">
        <v>320</v>
      </c>
      <c r="F478" t="s">
        <v>321</v>
      </c>
      <c r="G478" t="s">
        <v>245</v>
      </c>
    </row>
    <row r="479" spans="1:7" hidden="1" x14ac:dyDescent="0.2">
      <c r="A479" t="s">
        <v>24</v>
      </c>
      <c r="B479" t="s">
        <v>179</v>
      </c>
      <c r="C479" s="4">
        <v>4.4957957451789068E-3</v>
      </c>
      <c r="D479" t="s">
        <v>256</v>
      </c>
      <c r="E479" t="s">
        <v>320</v>
      </c>
      <c r="F479" t="s">
        <v>321</v>
      </c>
      <c r="G479" t="s">
        <v>245</v>
      </c>
    </row>
    <row r="480" spans="1:7" hidden="1" x14ac:dyDescent="0.2">
      <c r="A480" t="s">
        <v>24</v>
      </c>
      <c r="B480" t="s">
        <v>137</v>
      </c>
      <c r="C480" s="4">
        <v>1.667019960793848E-3</v>
      </c>
      <c r="D480" t="s">
        <v>256</v>
      </c>
      <c r="E480" t="s">
        <v>320</v>
      </c>
      <c r="F480" t="s">
        <v>321</v>
      </c>
      <c r="G480" t="s">
        <v>245</v>
      </c>
    </row>
    <row r="481" spans="1:11" hidden="1" x14ac:dyDescent="0.2">
      <c r="A481" t="s">
        <v>24</v>
      </c>
      <c r="B481" t="s">
        <v>121</v>
      </c>
      <c r="C481" s="4">
        <v>1.569601283760114E-2</v>
      </c>
      <c r="D481" t="s">
        <v>256</v>
      </c>
      <c r="E481" t="s">
        <v>320</v>
      </c>
      <c r="F481" t="s">
        <v>321</v>
      </c>
      <c r="G481" t="s">
        <v>245</v>
      </c>
    </row>
    <row r="482" spans="1:11" hidden="1" x14ac:dyDescent="0.2">
      <c r="A482" t="s">
        <v>24</v>
      </c>
      <c r="B482" t="s">
        <v>138</v>
      </c>
      <c r="C482" s="4">
        <v>8.7442348013792616E-3</v>
      </c>
      <c r="D482" t="s">
        <v>256</v>
      </c>
      <c r="E482" t="s">
        <v>320</v>
      </c>
      <c r="F482" t="s">
        <v>321</v>
      </c>
      <c r="G482" t="s">
        <v>245</v>
      </c>
    </row>
    <row r="483" spans="1:11" hidden="1" x14ac:dyDescent="0.2">
      <c r="A483" t="s">
        <v>24</v>
      </c>
      <c r="B483" t="s">
        <v>111</v>
      </c>
      <c r="C483" s="4">
        <v>2.778366601323079E-3</v>
      </c>
      <c r="D483" t="s">
        <v>256</v>
      </c>
      <c r="E483" t="s">
        <v>320</v>
      </c>
      <c r="F483" t="s">
        <v>321</v>
      </c>
      <c r="G483" t="s">
        <v>245</v>
      </c>
    </row>
    <row r="484" spans="1:11" hidden="1" x14ac:dyDescent="0.2">
      <c r="A484" t="s">
        <v>24</v>
      </c>
      <c r="B484" t="s">
        <v>112</v>
      </c>
      <c r="C484" s="4">
        <v>4.623577162708112E-3</v>
      </c>
      <c r="D484" t="s">
        <v>256</v>
      </c>
      <c r="E484" t="s">
        <v>320</v>
      </c>
      <c r="F484" t="s">
        <v>321</v>
      </c>
      <c r="G484" t="s">
        <v>245</v>
      </c>
    </row>
    <row r="485" spans="1:11" hidden="1" x14ac:dyDescent="0.2">
      <c r="A485" t="s">
        <v>24</v>
      </c>
      <c r="B485" t="s">
        <v>113</v>
      </c>
      <c r="C485" s="4">
        <v>2.5169422333504859E-2</v>
      </c>
      <c r="D485" t="s">
        <v>256</v>
      </c>
      <c r="E485" t="s">
        <v>320</v>
      </c>
      <c r="F485" t="s">
        <v>321</v>
      </c>
      <c r="G485" t="s">
        <v>245</v>
      </c>
    </row>
    <row r="486" spans="1:11" hidden="1" x14ac:dyDescent="0.2">
      <c r="A486" t="s">
        <v>24</v>
      </c>
      <c r="B486" t="s">
        <v>180</v>
      </c>
      <c r="C486" s="4">
        <v>7.7407403664710092E-3</v>
      </c>
      <c r="D486" t="s">
        <v>256</v>
      </c>
      <c r="E486" t="s">
        <v>320</v>
      </c>
      <c r="F486" t="s">
        <v>321</v>
      </c>
      <c r="G486" t="s">
        <v>245</v>
      </c>
    </row>
    <row r="487" spans="1:11" hidden="1" x14ac:dyDescent="0.2">
      <c r="A487" t="s">
        <v>24</v>
      </c>
      <c r="B487" t="s">
        <v>115</v>
      </c>
      <c r="C487" s="4">
        <v>9.9646059541123096E-4</v>
      </c>
      <c r="D487" t="s">
        <v>256</v>
      </c>
      <c r="E487" t="s">
        <v>320</v>
      </c>
      <c r="F487" t="s">
        <v>321</v>
      </c>
      <c r="G487" t="s">
        <v>245</v>
      </c>
    </row>
    <row r="488" spans="1:11" hidden="1" x14ac:dyDescent="0.2">
      <c r="A488" t="s">
        <v>24</v>
      </c>
      <c r="B488" t="s">
        <v>143</v>
      </c>
      <c r="C488" s="4">
        <v>4.4145548989883203E-2</v>
      </c>
      <c r="D488" t="s">
        <v>256</v>
      </c>
      <c r="E488" t="s">
        <v>320</v>
      </c>
      <c r="F488" t="s">
        <v>321</v>
      </c>
      <c r="G488" t="s">
        <v>245</v>
      </c>
    </row>
    <row r="489" spans="1:11" hidden="1" x14ac:dyDescent="0.2">
      <c r="A489" t="s">
        <v>25</v>
      </c>
      <c r="B489" t="s">
        <v>116</v>
      </c>
      <c r="C489" s="2">
        <f>1.82758697059355E-10/0.800657463208691</f>
        <v>2.2826077999315299E-10</v>
      </c>
      <c r="D489" t="s">
        <v>289</v>
      </c>
      <c r="E489" t="s">
        <v>324</v>
      </c>
      <c r="F489" t="s">
        <v>326</v>
      </c>
      <c r="G489" t="s">
        <v>245</v>
      </c>
      <c r="H489" t="s">
        <v>340</v>
      </c>
    </row>
    <row r="490" spans="1:11" hidden="1" x14ac:dyDescent="0.2">
      <c r="A490" t="s">
        <v>25</v>
      </c>
      <c r="B490" t="s">
        <v>116</v>
      </c>
      <c r="C490" s="2">
        <f>1.82758697059355E-10/0.800657463208691</f>
        <v>2.2826077999315299E-10</v>
      </c>
      <c r="D490" t="s">
        <v>289</v>
      </c>
      <c r="E490" t="s">
        <v>325</v>
      </c>
      <c r="F490" t="s">
        <v>326</v>
      </c>
      <c r="G490" t="s">
        <v>245</v>
      </c>
    </row>
    <row r="491" spans="1:11" hidden="1" x14ac:dyDescent="0.2">
      <c r="A491" t="s">
        <v>25</v>
      </c>
      <c r="B491" t="s">
        <v>107</v>
      </c>
      <c r="C491" s="4">
        <f>0.0157037102658409/0.800657463208691</f>
        <v>1.961351887348577E-2</v>
      </c>
      <c r="D491" t="s">
        <v>313</v>
      </c>
      <c r="E491" t="s">
        <v>337</v>
      </c>
      <c r="F491" t="s">
        <v>326</v>
      </c>
      <c r="G491" t="s">
        <v>245</v>
      </c>
    </row>
    <row r="492" spans="1:11" hidden="1" x14ac:dyDescent="0.2">
      <c r="A492" t="s">
        <v>25</v>
      </c>
      <c r="B492" t="s">
        <v>138</v>
      </c>
      <c r="C492" s="4">
        <f>0.0068111458857769/0.800657463208691</f>
        <v>8.5069411062263182E-3</v>
      </c>
      <c r="D492" t="s">
        <v>314</v>
      </c>
      <c r="E492" t="s">
        <v>338</v>
      </c>
      <c r="F492" t="s">
        <v>326</v>
      </c>
      <c r="G492" t="s">
        <v>245</v>
      </c>
    </row>
    <row r="493" spans="1:11" hidden="1" x14ac:dyDescent="0.2">
      <c r="A493" t="s">
        <v>25</v>
      </c>
      <c r="B493" t="s">
        <v>137</v>
      </c>
      <c r="C493" s="4">
        <f>0.11796839608685%/0.800657463208691</f>
        <v>1.4733940730919232E-3</v>
      </c>
      <c r="D493" t="s">
        <v>322</v>
      </c>
      <c r="E493" t="s">
        <v>339</v>
      </c>
      <c r="F493" t="s">
        <v>326</v>
      </c>
      <c r="G493" t="s">
        <v>245</v>
      </c>
    </row>
    <row r="494" spans="1:11" hidden="1" x14ac:dyDescent="0.2">
      <c r="A494" t="s">
        <v>25</v>
      </c>
      <c r="B494" t="s">
        <v>124</v>
      </c>
      <c r="C494" s="4">
        <f>0.212937718373242 * 0.0574113920162127%</f>
        <v>1.2225050824564096E-4</v>
      </c>
      <c r="D494" t="s">
        <v>242</v>
      </c>
      <c r="E494" t="s">
        <v>329</v>
      </c>
      <c r="F494" t="s">
        <v>326</v>
      </c>
      <c r="G494" t="s">
        <v>245</v>
      </c>
      <c r="H494" t="s">
        <v>344</v>
      </c>
      <c r="K494" s="8"/>
    </row>
    <row r="495" spans="1:11" hidden="1" x14ac:dyDescent="0.2">
      <c r="A495" t="s">
        <v>25</v>
      </c>
      <c r="B495" t="s">
        <v>124</v>
      </c>
      <c r="C495" s="4">
        <f>0.755584923910716 * 0.0574113920162127%</f>
        <v>4.3379182268178364E-4</v>
      </c>
      <c r="D495" t="s">
        <v>242</v>
      </c>
      <c r="E495" t="s">
        <v>328</v>
      </c>
      <c r="F495" t="s">
        <v>326</v>
      </c>
      <c r="G495" t="s">
        <v>245</v>
      </c>
      <c r="K495" s="8"/>
    </row>
    <row r="496" spans="1:11" hidden="1" x14ac:dyDescent="0.2">
      <c r="A496" t="s">
        <v>25</v>
      </c>
      <c r="B496" t="s">
        <v>124</v>
      </c>
      <c r="C496" s="4">
        <f>0.00154025450133466 * 0.0574113920162127%</f>
        <v>8.8428154980860384E-7</v>
      </c>
      <c r="D496" t="s">
        <v>242</v>
      </c>
      <c r="E496" t="s">
        <v>290</v>
      </c>
      <c r="F496" t="s">
        <v>326</v>
      </c>
      <c r="G496" t="s">
        <v>245</v>
      </c>
      <c r="K496" s="8"/>
    </row>
    <row r="497" spans="1:11" hidden="1" x14ac:dyDescent="0.2">
      <c r="A497" t="s">
        <v>25</v>
      </c>
      <c r="B497" t="s">
        <v>124</v>
      </c>
      <c r="C497" s="4">
        <f>4.63438553364394E-10 * 0.0574113920162127%</f>
        <v>2.6606652462629734E-13</v>
      </c>
      <c r="D497" t="s">
        <v>256</v>
      </c>
      <c r="E497" t="s">
        <v>324</v>
      </c>
      <c r="F497" t="s">
        <v>326</v>
      </c>
      <c r="G497" t="s">
        <v>245</v>
      </c>
      <c r="K497" s="8"/>
    </row>
    <row r="498" spans="1:11" hidden="1" x14ac:dyDescent="0.2">
      <c r="A498" t="s">
        <v>25</v>
      </c>
      <c r="B498" t="s">
        <v>124</v>
      </c>
      <c r="C498" s="4">
        <f>1.80533525994585E-09 * 0.0574113920162127%</f>
        <v>1.0364681032944245E-12</v>
      </c>
      <c r="D498" t="s">
        <v>256</v>
      </c>
      <c r="E498" t="s">
        <v>325</v>
      </c>
      <c r="F498" t="s">
        <v>326</v>
      </c>
      <c r="G498" t="s">
        <v>245</v>
      </c>
      <c r="K498" s="8"/>
    </row>
    <row r="499" spans="1:11" hidden="1" x14ac:dyDescent="0.2">
      <c r="A499" t="s">
        <v>25</v>
      </c>
      <c r="B499" t="s">
        <v>124</v>
      </c>
      <c r="C499" s="4">
        <f>0.000343246436607167 * 0.0574113920162127%</f>
        <v>1.9706255730222168E-7</v>
      </c>
      <c r="D499" t="s">
        <v>256</v>
      </c>
      <c r="E499" t="s">
        <v>281</v>
      </c>
      <c r="F499" t="s">
        <v>326</v>
      </c>
      <c r="G499" t="s">
        <v>245</v>
      </c>
      <c r="K499" s="8"/>
    </row>
    <row r="500" spans="1:11" hidden="1" x14ac:dyDescent="0.2">
      <c r="A500" t="s">
        <v>25</v>
      </c>
      <c r="B500" t="s">
        <v>83</v>
      </c>
      <c r="C500" s="4">
        <f>0.212937718373242 * 1.65449051691339%</f>
        <v>3.52303435741703E-3</v>
      </c>
      <c r="D500" t="s">
        <v>242</v>
      </c>
      <c r="E500" t="s">
        <v>329</v>
      </c>
      <c r="F500" t="s">
        <v>326</v>
      </c>
      <c r="G500" t="s">
        <v>245</v>
      </c>
      <c r="K500" s="8"/>
    </row>
    <row r="501" spans="1:11" hidden="1" x14ac:dyDescent="0.2">
      <c r="A501" t="s">
        <v>25</v>
      </c>
      <c r="B501" t="s">
        <v>83</v>
      </c>
      <c r="C501" s="4">
        <f>0.755584923910716 * 1.65449051691339%</f>
        <v>1.2501080913330048E-2</v>
      </c>
      <c r="D501" t="s">
        <v>242</v>
      </c>
      <c r="E501" t="s">
        <v>328</v>
      </c>
      <c r="F501" t="s">
        <v>326</v>
      </c>
      <c r="G501" t="s">
        <v>245</v>
      </c>
      <c r="K501" s="8"/>
    </row>
    <row r="502" spans="1:11" hidden="1" x14ac:dyDescent="0.2">
      <c r="A502" t="s">
        <v>25</v>
      </c>
      <c r="B502" t="s">
        <v>83</v>
      </c>
      <c r="C502" s="4">
        <f>0.00154025450133466 * 1.65449051691339%</f>
        <v>2.5483364660913573E-5</v>
      </c>
      <c r="D502" t="s">
        <v>242</v>
      </c>
      <c r="E502" t="s">
        <v>290</v>
      </c>
      <c r="F502" t="s">
        <v>326</v>
      </c>
      <c r="G502" t="s">
        <v>245</v>
      </c>
      <c r="K502" s="8"/>
    </row>
    <row r="503" spans="1:11" hidden="1" x14ac:dyDescent="0.2">
      <c r="A503" t="s">
        <v>25</v>
      </c>
      <c r="B503" t="s">
        <v>83</v>
      </c>
      <c r="C503" s="4">
        <f>4.63438553364394E-10 * 1.65449051691339%</f>
        <v>7.6675469171344989E-12</v>
      </c>
      <c r="D503" t="s">
        <v>256</v>
      </c>
      <c r="E503" t="s">
        <v>324</v>
      </c>
      <c r="F503" t="s">
        <v>326</v>
      </c>
      <c r="G503" t="s">
        <v>245</v>
      </c>
      <c r="K503" s="8"/>
    </row>
    <row r="504" spans="1:11" hidden="1" x14ac:dyDescent="0.2">
      <c r="A504" t="s">
        <v>25</v>
      </c>
      <c r="B504" t="s">
        <v>83</v>
      </c>
      <c r="C504" s="4">
        <f>1.80533525994585E-09 * 1.65449051691339%</f>
        <v>2.9869100674297783E-11</v>
      </c>
      <c r="D504" t="s">
        <v>256</v>
      </c>
      <c r="E504" t="s">
        <v>325</v>
      </c>
      <c r="F504" t="s">
        <v>326</v>
      </c>
      <c r="G504" t="s">
        <v>245</v>
      </c>
      <c r="K504" s="8"/>
    </row>
    <row r="505" spans="1:11" hidden="1" x14ac:dyDescent="0.2">
      <c r="A505" t="s">
        <v>25</v>
      </c>
      <c r="B505" t="s">
        <v>83</v>
      </c>
      <c r="C505" s="4">
        <f>0.000343246436607167 * 1.65449051691339%</f>
        <v>5.6789797433087088E-6</v>
      </c>
      <c r="D505" t="s">
        <v>256</v>
      </c>
      <c r="E505" t="s">
        <v>281</v>
      </c>
      <c r="F505" t="s">
        <v>326</v>
      </c>
      <c r="G505" t="s">
        <v>245</v>
      </c>
      <c r="K505" s="8"/>
    </row>
    <row r="506" spans="1:11" hidden="1" x14ac:dyDescent="0.2">
      <c r="A506" t="s">
        <v>25</v>
      </c>
      <c r="B506" t="s">
        <v>181</v>
      </c>
      <c r="C506" s="4">
        <f>0.212937718373242 * 0.500873387204301%</f>
        <v>1.0665483626516121E-3</v>
      </c>
      <c r="D506" t="s">
        <v>242</v>
      </c>
      <c r="E506" t="s">
        <v>329</v>
      </c>
      <c r="F506" t="s">
        <v>326</v>
      </c>
      <c r="G506" t="s">
        <v>245</v>
      </c>
      <c r="K506" s="8"/>
    </row>
    <row r="507" spans="1:11" hidden="1" x14ac:dyDescent="0.2">
      <c r="A507" t="s">
        <v>25</v>
      </c>
      <c r="B507" t="s">
        <v>181</v>
      </c>
      <c r="C507" s="4">
        <f>0.755584923910716 * 0.500873387204301%</f>
        <v>3.7845238015966429E-3</v>
      </c>
      <c r="D507" t="s">
        <v>242</v>
      </c>
      <c r="E507" t="s">
        <v>328</v>
      </c>
      <c r="F507" t="s">
        <v>326</v>
      </c>
      <c r="G507" t="s">
        <v>245</v>
      </c>
      <c r="K507" s="8"/>
    </row>
    <row r="508" spans="1:11" hidden="1" x14ac:dyDescent="0.2">
      <c r="A508" t="s">
        <v>25</v>
      </c>
      <c r="B508" t="s">
        <v>181</v>
      </c>
      <c r="C508" s="4">
        <f>0.00154025450133466 * 0.500873387204301%</f>
        <v>7.7147248924016259E-6</v>
      </c>
      <c r="D508" t="s">
        <v>242</v>
      </c>
      <c r="E508" t="s">
        <v>290</v>
      </c>
      <c r="F508" t="s">
        <v>326</v>
      </c>
      <c r="G508" t="s">
        <v>245</v>
      </c>
      <c r="K508" s="8"/>
    </row>
    <row r="509" spans="1:11" hidden="1" x14ac:dyDescent="0.2">
      <c r="A509" t="s">
        <v>25</v>
      </c>
      <c r="B509" t="s">
        <v>181</v>
      </c>
      <c r="C509" s="4">
        <f>4.63438553364394E-10 * 0.500873387204301%</f>
        <v>2.321240379846852E-12</v>
      </c>
      <c r="D509" t="s">
        <v>256</v>
      </c>
      <c r="E509" t="s">
        <v>324</v>
      </c>
      <c r="F509" t="s">
        <v>326</v>
      </c>
      <c r="G509" t="s">
        <v>245</v>
      </c>
      <c r="K509" s="8"/>
    </row>
    <row r="510" spans="1:11" hidden="1" x14ac:dyDescent="0.2">
      <c r="A510" t="s">
        <v>25</v>
      </c>
      <c r="B510" t="s">
        <v>181</v>
      </c>
      <c r="C510" s="4">
        <f>1.80533525994585E-09 * 0.500873387204301%</f>
        <v>9.0424438668843499E-12</v>
      </c>
      <c r="D510" t="s">
        <v>256</v>
      </c>
      <c r="E510" t="s">
        <v>325</v>
      </c>
      <c r="F510" t="s">
        <v>326</v>
      </c>
      <c r="G510" t="s">
        <v>245</v>
      </c>
      <c r="K510" s="8"/>
    </row>
    <row r="511" spans="1:11" hidden="1" x14ac:dyDescent="0.2">
      <c r="A511" t="s">
        <v>25</v>
      </c>
      <c r="B511" t="s">
        <v>181</v>
      </c>
      <c r="C511" s="4">
        <f>0.000343246436607167 * 0.500873387204301%</f>
        <v>1.7192300534923809E-6</v>
      </c>
      <c r="D511" t="s">
        <v>256</v>
      </c>
      <c r="E511" t="s">
        <v>281</v>
      </c>
      <c r="F511" t="s">
        <v>326</v>
      </c>
      <c r="G511" t="s">
        <v>245</v>
      </c>
      <c r="K511" s="8"/>
    </row>
    <row r="512" spans="1:11" hidden="1" x14ac:dyDescent="0.2">
      <c r="A512" t="s">
        <v>25</v>
      </c>
      <c r="B512" t="s">
        <v>163</v>
      </c>
      <c r="C512" s="4">
        <f>0.212937718373242 * 1.53132585762101%</f>
        <v>3.2607703420776588E-3</v>
      </c>
      <c r="D512" t="s">
        <v>242</v>
      </c>
      <c r="E512" t="s">
        <v>329</v>
      </c>
      <c r="F512" t="s">
        <v>326</v>
      </c>
      <c r="G512" t="s">
        <v>245</v>
      </c>
    </row>
    <row r="513" spans="1:7" hidden="1" x14ac:dyDescent="0.2">
      <c r="A513" t="s">
        <v>25</v>
      </c>
      <c r="B513" t="s">
        <v>163</v>
      </c>
      <c r="C513" s="4">
        <f>0.755584923910716 * 1.53132585762101%</f>
        <v>1.1570467316130827E-2</v>
      </c>
      <c r="D513" t="s">
        <v>242</v>
      </c>
      <c r="E513" t="s">
        <v>328</v>
      </c>
      <c r="F513" t="s">
        <v>326</v>
      </c>
      <c r="G513" t="s">
        <v>245</v>
      </c>
    </row>
    <row r="514" spans="1:7" hidden="1" x14ac:dyDescent="0.2">
      <c r="A514" t="s">
        <v>25</v>
      </c>
      <c r="B514" t="s">
        <v>163</v>
      </c>
      <c r="C514" s="4">
        <f>0.00154025450133466 * 1.53132585762101%</f>
        <v>2.3586315452109195E-5</v>
      </c>
      <c r="D514" t="s">
        <v>242</v>
      </c>
      <c r="E514" t="s">
        <v>290</v>
      </c>
      <c r="F514" t="s">
        <v>326</v>
      </c>
      <c r="G514" t="s">
        <v>245</v>
      </c>
    </row>
    <row r="515" spans="1:7" hidden="1" x14ac:dyDescent="0.2">
      <c r="A515" t="s">
        <v>25</v>
      </c>
      <c r="B515" t="s">
        <v>163</v>
      </c>
      <c r="C515" s="4">
        <f>4.63438553364394E-10 * 1.53132585762101%</f>
        <v>7.0967544018537083E-12</v>
      </c>
      <c r="D515" t="s">
        <v>256</v>
      </c>
      <c r="E515" t="s">
        <v>324</v>
      </c>
      <c r="F515" t="s">
        <v>326</v>
      </c>
      <c r="G515" t="s">
        <v>245</v>
      </c>
    </row>
    <row r="516" spans="1:7" hidden="1" x14ac:dyDescent="0.2">
      <c r="A516" t="s">
        <v>25</v>
      </c>
      <c r="B516" t="s">
        <v>163</v>
      </c>
      <c r="C516" s="4">
        <f>1.80533525994585E-09 * 1.53132585762101%</f>
        <v>2.7645565652300277E-11</v>
      </c>
      <c r="D516" t="s">
        <v>256</v>
      </c>
      <c r="E516" t="s">
        <v>325</v>
      </c>
      <c r="F516" t="s">
        <v>326</v>
      </c>
      <c r="G516" t="s">
        <v>245</v>
      </c>
    </row>
    <row r="517" spans="1:7" hidden="1" x14ac:dyDescent="0.2">
      <c r="A517" t="s">
        <v>25</v>
      </c>
      <c r="B517" t="s">
        <v>163</v>
      </c>
      <c r="C517" s="4">
        <f>0.000343246436607167 * 1.53132585762101%</f>
        <v>5.2562214391282562E-6</v>
      </c>
      <c r="D517" t="s">
        <v>256</v>
      </c>
      <c r="E517" t="s">
        <v>281</v>
      </c>
      <c r="F517" t="s">
        <v>326</v>
      </c>
      <c r="G517" t="s">
        <v>245</v>
      </c>
    </row>
    <row r="518" spans="1:7" hidden="1" x14ac:dyDescent="0.2">
      <c r="A518" t="s">
        <v>25</v>
      </c>
      <c r="B518" t="s">
        <v>144</v>
      </c>
      <c r="C518" s="4">
        <f>0.212937718373242 * 0.00998056042064704%</f>
        <v>2.1252377640588647E-5</v>
      </c>
      <c r="D518" t="s">
        <v>242</v>
      </c>
      <c r="E518" t="s">
        <v>329</v>
      </c>
      <c r="F518" t="s">
        <v>326</v>
      </c>
      <c r="G518" t="s">
        <v>245</v>
      </c>
    </row>
    <row r="519" spans="1:7" hidden="1" x14ac:dyDescent="0.2">
      <c r="A519" t="s">
        <v>25</v>
      </c>
      <c r="B519" t="s">
        <v>144</v>
      </c>
      <c r="C519" s="4">
        <f>0.755584923910716 * 0.00998056042064704%</f>
        <v>7.5411609860208964E-5</v>
      </c>
      <c r="D519" t="s">
        <v>242</v>
      </c>
      <c r="E519" t="s">
        <v>328</v>
      </c>
      <c r="F519" t="s">
        <v>326</v>
      </c>
      <c r="G519" t="s">
        <v>245</v>
      </c>
    </row>
    <row r="520" spans="1:7" hidden="1" x14ac:dyDescent="0.2">
      <c r="A520" t="s">
        <v>25</v>
      </c>
      <c r="B520" t="s">
        <v>144</v>
      </c>
      <c r="C520" s="4">
        <f>0.00154025450133466 * 0.00998056042064704%</f>
        <v>1.5372603113744149E-7</v>
      </c>
      <c r="D520" t="s">
        <v>242</v>
      </c>
      <c r="E520" t="s">
        <v>290</v>
      </c>
      <c r="F520" t="s">
        <v>326</v>
      </c>
      <c r="G520" t="s">
        <v>245</v>
      </c>
    </row>
    <row r="521" spans="1:7" hidden="1" x14ac:dyDescent="0.2">
      <c r="A521" t="s">
        <v>25</v>
      </c>
      <c r="B521" t="s">
        <v>144</v>
      </c>
      <c r="C521" s="4">
        <f>4.63438553364394E-10 * 0.00998056042064704%</f>
        <v>4.6253764831105911E-14</v>
      </c>
      <c r="D521" t="s">
        <v>256</v>
      </c>
      <c r="E521" t="s">
        <v>324</v>
      </c>
      <c r="F521" t="s">
        <v>326</v>
      </c>
      <c r="G521" t="s">
        <v>245</v>
      </c>
    </row>
    <row r="522" spans="1:7" hidden="1" x14ac:dyDescent="0.2">
      <c r="A522" t="s">
        <v>25</v>
      </c>
      <c r="B522" t="s">
        <v>144</v>
      </c>
      <c r="C522" s="4">
        <f>1.80533525994585E-09 * 0.00998056042064704%</f>
        <v>1.8018257641414083E-13</v>
      </c>
      <c r="D522" t="s">
        <v>256</v>
      </c>
      <c r="E522" t="s">
        <v>325</v>
      </c>
      <c r="F522" t="s">
        <v>326</v>
      </c>
      <c r="G522" t="s">
        <v>245</v>
      </c>
    </row>
    <row r="523" spans="1:7" hidden="1" x14ac:dyDescent="0.2">
      <c r="A523" t="s">
        <v>25</v>
      </c>
      <c r="B523" t="s">
        <v>144</v>
      </c>
      <c r="C523" s="4">
        <f>0.000343246436607167 * 0.00998056042064704%</f>
        <v>3.425791799729624E-8</v>
      </c>
      <c r="D523" t="s">
        <v>256</v>
      </c>
      <c r="E523" t="s">
        <v>281</v>
      </c>
      <c r="F523" t="s">
        <v>326</v>
      </c>
      <c r="G523" t="s">
        <v>245</v>
      </c>
    </row>
    <row r="524" spans="1:7" hidden="1" x14ac:dyDescent="0.2">
      <c r="A524" t="s">
        <v>25</v>
      </c>
      <c r="B524" t="s">
        <v>85</v>
      </c>
      <c r="C524" s="4">
        <f>0.212937718373242 * 0.521131406958594%</f>
        <v>1.1096853277040044E-3</v>
      </c>
      <c r="D524" t="s">
        <v>242</v>
      </c>
      <c r="E524" t="s">
        <v>329</v>
      </c>
      <c r="F524" t="s">
        <v>326</v>
      </c>
      <c r="G524" t="s">
        <v>245</v>
      </c>
    </row>
    <row r="525" spans="1:7" hidden="1" x14ac:dyDescent="0.2">
      <c r="A525" t="s">
        <v>25</v>
      </c>
      <c r="B525" t="s">
        <v>85</v>
      </c>
      <c r="C525" s="4">
        <f>0.755584923910716 * 0.521131406958594%</f>
        <v>3.9375903447429359E-3</v>
      </c>
      <c r="D525" t="s">
        <v>242</v>
      </c>
      <c r="E525" t="s">
        <v>328</v>
      </c>
      <c r="F525" t="s">
        <v>326</v>
      </c>
      <c r="G525" t="s">
        <v>245</v>
      </c>
    </row>
    <row r="526" spans="1:7" hidden="1" x14ac:dyDescent="0.2">
      <c r="A526" t="s">
        <v>25</v>
      </c>
      <c r="B526" t="s">
        <v>85</v>
      </c>
      <c r="C526" s="4">
        <f>0.00154025450133466 * 0.521131406958594%</f>
        <v>8.0267499535483886E-6</v>
      </c>
      <c r="D526" t="s">
        <v>242</v>
      </c>
      <c r="E526" t="s">
        <v>290</v>
      </c>
      <c r="F526" t="s">
        <v>326</v>
      </c>
      <c r="G526" t="s">
        <v>245</v>
      </c>
    </row>
    <row r="527" spans="1:7" hidden="1" x14ac:dyDescent="0.2">
      <c r="A527" t="s">
        <v>25</v>
      </c>
      <c r="B527" t="s">
        <v>85</v>
      </c>
      <c r="C527" s="4">
        <f>4.63438553364394E-10 * 0.521131406958594%</f>
        <v>2.4151238535364206E-12</v>
      </c>
      <c r="D527" t="s">
        <v>256</v>
      </c>
      <c r="E527" t="s">
        <v>324</v>
      </c>
      <c r="F527" t="s">
        <v>326</v>
      </c>
      <c r="G527" t="s">
        <v>245</v>
      </c>
    </row>
    <row r="528" spans="1:7" hidden="1" x14ac:dyDescent="0.2">
      <c r="A528" t="s">
        <v>25</v>
      </c>
      <c r="B528" t="s">
        <v>85</v>
      </c>
      <c r="C528" s="4">
        <f>1.80533525994585E-09 * 0.521131406958594%</f>
        <v>9.4081690404753975E-12</v>
      </c>
      <c r="D528" t="s">
        <v>256</v>
      </c>
      <c r="E528" t="s">
        <v>325</v>
      </c>
      <c r="F528" t="s">
        <v>326</v>
      </c>
      <c r="G528" t="s">
        <v>245</v>
      </c>
    </row>
    <row r="529" spans="1:11" hidden="1" x14ac:dyDescent="0.2">
      <c r="A529" t="s">
        <v>25</v>
      </c>
      <c r="B529" t="s">
        <v>85</v>
      </c>
      <c r="C529" s="4">
        <f>0.000343246436607167 * 0.521131406958594%</f>
        <v>1.7887649844261676E-6</v>
      </c>
      <c r="D529" t="s">
        <v>256</v>
      </c>
      <c r="E529" t="s">
        <v>281</v>
      </c>
      <c r="F529" t="s">
        <v>326</v>
      </c>
      <c r="G529" t="s">
        <v>245</v>
      </c>
    </row>
    <row r="530" spans="1:11" hidden="1" x14ac:dyDescent="0.2">
      <c r="A530" t="s">
        <v>25</v>
      </c>
      <c r="B530" t="s">
        <v>147</v>
      </c>
      <c r="C530" s="4">
        <f>0.212937718373242 * 0.905255447846954%</f>
        <v>1.9276302960947772E-3</v>
      </c>
      <c r="D530" t="s">
        <v>242</v>
      </c>
      <c r="E530" t="s">
        <v>329</v>
      </c>
      <c r="F530" t="s">
        <v>326</v>
      </c>
      <c r="G530" t="s">
        <v>245</v>
      </c>
    </row>
    <row r="531" spans="1:11" hidden="1" x14ac:dyDescent="0.2">
      <c r="A531" t="s">
        <v>25</v>
      </c>
      <c r="B531" t="s">
        <v>147</v>
      </c>
      <c r="C531" s="4">
        <f>0.755584923910716 * 0.905255447846954%</f>
        <v>6.8399736868120179E-3</v>
      </c>
      <c r="D531" t="s">
        <v>242</v>
      </c>
      <c r="E531" t="s">
        <v>328</v>
      </c>
      <c r="F531" t="s">
        <v>326</v>
      </c>
      <c r="G531" t="s">
        <v>245</v>
      </c>
    </row>
    <row r="532" spans="1:11" hidden="1" x14ac:dyDescent="0.2">
      <c r="A532" t="s">
        <v>25</v>
      </c>
      <c r="B532" t="s">
        <v>147</v>
      </c>
      <c r="C532" s="4">
        <f>0.00154025450133466 * 0.905255447846954%</f>
        <v>1.3943237784039944E-5</v>
      </c>
      <c r="D532" t="s">
        <v>242</v>
      </c>
      <c r="E532" t="s">
        <v>290</v>
      </c>
      <c r="F532" t="s">
        <v>326</v>
      </c>
      <c r="G532" t="s">
        <v>245</v>
      </c>
    </row>
    <row r="533" spans="1:11" hidden="1" x14ac:dyDescent="0.2">
      <c r="A533" t="s">
        <v>25</v>
      </c>
      <c r="B533" t="s">
        <v>147</v>
      </c>
      <c r="C533" s="4">
        <f>4.63438553364394E-10 * 0.905255447846954%</f>
        <v>4.1953027517542894E-12</v>
      </c>
      <c r="D533" t="s">
        <v>256</v>
      </c>
      <c r="E533" t="s">
        <v>324</v>
      </c>
      <c r="F533" t="s">
        <v>326</v>
      </c>
      <c r="G533" t="s">
        <v>245</v>
      </c>
    </row>
    <row r="534" spans="1:11" hidden="1" x14ac:dyDescent="0.2">
      <c r="A534" t="s">
        <v>25</v>
      </c>
      <c r="B534" t="s">
        <v>147</v>
      </c>
      <c r="C534" s="4">
        <f>1.80533525994585E-09 * 0.905255447846954%</f>
        <v>1.6342895792561772E-11</v>
      </c>
      <c r="D534" t="s">
        <v>256</v>
      </c>
      <c r="E534" t="s">
        <v>325</v>
      </c>
      <c r="F534" t="s">
        <v>326</v>
      </c>
      <c r="G534" t="s">
        <v>245</v>
      </c>
    </row>
    <row r="535" spans="1:11" hidden="1" x14ac:dyDescent="0.2">
      <c r="A535" t="s">
        <v>25</v>
      </c>
      <c r="B535" t="s">
        <v>147</v>
      </c>
      <c r="C535" s="4">
        <f>0.000343246436607167 * 0.905255447846954%</f>
        <v>3.1072570669269202E-6</v>
      </c>
      <c r="D535" t="s">
        <v>256</v>
      </c>
      <c r="E535" t="s">
        <v>281</v>
      </c>
      <c r="F535" t="s">
        <v>326</v>
      </c>
      <c r="G535" t="s">
        <v>245</v>
      </c>
    </row>
    <row r="536" spans="1:11" hidden="1" x14ac:dyDescent="0.2">
      <c r="A536" t="s">
        <v>25</v>
      </c>
      <c r="B536" t="s">
        <v>116</v>
      </c>
      <c r="C536" s="4">
        <f>0.212937718373242 * 1.20269648841826%</f>
        <v>2.5609944613929456E-3</v>
      </c>
      <c r="D536" t="s">
        <v>242</v>
      </c>
      <c r="E536" t="s">
        <v>329</v>
      </c>
      <c r="F536" t="s">
        <v>326</v>
      </c>
      <c r="G536" t="s">
        <v>245</v>
      </c>
      <c r="K536" s="9"/>
    </row>
    <row r="537" spans="1:11" hidden="1" x14ac:dyDescent="0.2">
      <c r="A537" t="s">
        <v>25</v>
      </c>
      <c r="B537" t="s">
        <v>116</v>
      </c>
      <c r="C537" s="4">
        <f>0.755584923910716 * 1.20269648841826%</f>
        <v>9.0873933468919622E-3</v>
      </c>
      <c r="D537" t="s">
        <v>242</v>
      </c>
      <c r="E537" t="s">
        <v>328</v>
      </c>
      <c r="F537" t="s">
        <v>326</v>
      </c>
      <c r="G537" t="s">
        <v>245</v>
      </c>
      <c r="K537" s="9"/>
    </row>
    <row r="538" spans="1:11" hidden="1" x14ac:dyDescent="0.2">
      <c r="A538" t="s">
        <v>25</v>
      </c>
      <c r="B538" t="s">
        <v>116</v>
      </c>
      <c r="C538" s="4">
        <f>0.00154025450133466 * 1.20269648841826%</f>
        <v>1.8524586800256136E-5</v>
      </c>
      <c r="D538" t="s">
        <v>242</v>
      </c>
      <c r="E538" t="s">
        <v>290</v>
      </c>
      <c r="F538" t="s">
        <v>326</v>
      </c>
      <c r="G538" t="s">
        <v>245</v>
      </c>
      <c r="K538" s="9"/>
    </row>
    <row r="539" spans="1:11" hidden="1" x14ac:dyDescent="0.2">
      <c r="A539" t="s">
        <v>25</v>
      </c>
      <c r="B539" t="s">
        <v>116</v>
      </c>
      <c r="C539" s="4">
        <f>4.63438553364394E-10 * 1.20269648841826%</f>
        <v>5.5737592072899502E-12</v>
      </c>
      <c r="D539" t="s">
        <v>256</v>
      </c>
      <c r="E539" t="s">
        <v>324</v>
      </c>
      <c r="F539" t="s">
        <v>326</v>
      </c>
      <c r="G539" t="s">
        <v>245</v>
      </c>
      <c r="K539" s="9"/>
    </row>
    <row r="540" spans="1:11" hidden="1" x14ac:dyDescent="0.2">
      <c r="A540" t="s">
        <v>25</v>
      </c>
      <c r="B540" t="s">
        <v>116</v>
      </c>
      <c r="C540" s="4">
        <f>1.80533525994585E-09 * 1.20269648841826%</f>
        <v>2.1712703775545402E-11</v>
      </c>
      <c r="D540" t="s">
        <v>256</v>
      </c>
      <c r="E540" t="s">
        <v>325</v>
      </c>
      <c r="F540" t="s">
        <v>326</v>
      </c>
      <c r="G540" t="s">
        <v>245</v>
      </c>
      <c r="K540" s="9"/>
    </row>
    <row r="541" spans="1:11" hidden="1" x14ac:dyDescent="0.2">
      <c r="A541" t="s">
        <v>25</v>
      </c>
      <c r="B541" t="s">
        <v>116</v>
      </c>
      <c r="C541" s="4">
        <f>0.000343246436607167 * 1.20269648841826%</f>
        <v>4.1282128396952059E-6</v>
      </c>
      <c r="D541" t="s">
        <v>256</v>
      </c>
      <c r="E541" t="s">
        <v>281</v>
      </c>
      <c r="F541" t="s">
        <v>326</v>
      </c>
      <c r="G541" t="s">
        <v>245</v>
      </c>
      <c r="K541" s="9"/>
    </row>
    <row r="542" spans="1:11" hidden="1" x14ac:dyDescent="0.2">
      <c r="A542" t="s">
        <v>25</v>
      </c>
      <c r="B542" t="s">
        <v>145</v>
      </c>
      <c r="C542" s="4">
        <f>0.212937718373242 * 9.64765636322731%</f>
        <v>2.054349933634713E-2</v>
      </c>
      <c r="D542" t="s">
        <v>242</v>
      </c>
      <c r="E542" t="s">
        <v>329</v>
      </c>
      <c r="F542" t="s">
        <v>326</v>
      </c>
      <c r="G542" t="s">
        <v>245</v>
      </c>
    </row>
    <row r="543" spans="1:11" hidden="1" x14ac:dyDescent="0.2">
      <c r="A543" t="s">
        <v>25</v>
      </c>
      <c r="B543" t="s">
        <v>145</v>
      </c>
      <c r="C543" s="4">
        <f>0.755584923910716 * 9.64765636322731%</f>
        <v>7.2896236991258412E-2</v>
      </c>
      <c r="D543" t="s">
        <v>242</v>
      </c>
      <c r="E543" t="s">
        <v>328</v>
      </c>
      <c r="F543" t="s">
        <v>326</v>
      </c>
      <c r="G543" t="s">
        <v>245</v>
      </c>
    </row>
    <row r="544" spans="1:11" hidden="1" x14ac:dyDescent="0.2">
      <c r="A544" t="s">
        <v>25</v>
      </c>
      <c r="B544" t="s">
        <v>145</v>
      </c>
      <c r="C544" s="4">
        <f>0.00154025450133466 * 9.64765636322731%</f>
        <v>1.4859846140790838E-4</v>
      </c>
      <c r="D544" t="s">
        <v>242</v>
      </c>
      <c r="E544" t="s">
        <v>290</v>
      </c>
      <c r="F544" t="s">
        <v>326</v>
      </c>
      <c r="G544" t="s">
        <v>245</v>
      </c>
    </row>
    <row r="545" spans="1:7" hidden="1" x14ac:dyDescent="0.2">
      <c r="A545" t="s">
        <v>25</v>
      </c>
      <c r="B545" t="s">
        <v>145</v>
      </c>
      <c r="C545" s="4">
        <f>4.63438553364394E-10 * 9.64765636322731%</f>
        <v>4.471095908330855E-11</v>
      </c>
      <c r="D545" t="s">
        <v>256</v>
      </c>
      <c r="E545" t="s">
        <v>324</v>
      </c>
      <c r="F545" t="s">
        <v>326</v>
      </c>
      <c r="G545" t="s">
        <v>245</v>
      </c>
    </row>
    <row r="546" spans="1:7" hidden="1" x14ac:dyDescent="0.2">
      <c r="A546" t="s">
        <v>25</v>
      </c>
      <c r="B546" t="s">
        <v>145</v>
      </c>
      <c r="C546" s="4">
        <f>1.80533525994585E-09 * 9.64765636322731%</f>
        <v>1.7417254208375207E-10</v>
      </c>
      <c r="D546" t="s">
        <v>256</v>
      </c>
      <c r="E546" t="s">
        <v>325</v>
      </c>
      <c r="F546" t="s">
        <v>326</v>
      </c>
      <c r="G546" t="s">
        <v>245</v>
      </c>
    </row>
    <row r="547" spans="1:7" hidden="1" x14ac:dyDescent="0.2">
      <c r="A547" t="s">
        <v>25</v>
      </c>
      <c r="B547" t="s">
        <v>145</v>
      </c>
      <c r="C547" s="4">
        <f>0.000343246436607167 * 9.64765636322731%</f>
        <v>3.3115236682882342E-5</v>
      </c>
      <c r="D547" t="s">
        <v>256</v>
      </c>
      <c r="E547" t="s">
        <v>281</v>
      </c>
      <c r="F547" t="s">
        <v>326</v>
      </c>
      <c r="G547" t="s">
        <v>245</v>
      </c>
    </row>
    <row r="548" spans="1:7" hidden="1" x14ac:dyDescent="0.2">
      <c r="A548" t="s">
        <v>25</v>
      </c>
      <c r="B548" t="s">
        <v>86</v>
      </c>
      <c r="C548" s="4">
        <f>0.212937718373242 * 39.5633073000283%</f>
        <v>8.4245203877674549E-2</v>
      </c>
      <c r="D548" t="s">
        <v>242</v>
      </c>
      <c r="E548" t="s">
        <v>329</v>
      </c>
      <c r="F548" t="s">
        <v>326</v>
      </c>
      <c r="G548" t="s">
        <v>245</v>
      </c>
    </row>
    <row r="549" spans="1:7" hidden="1" x14ac:dyDescent="0.2">
      <c r="A549" t="s">
        <v>25</v>
      </c>
      <c r="B549" t="s">
        <v>86</v>
      </c>
      <c r="C549" s="4">
        <f>0.755584923910716 * 39.5633073000283%</f>
        <v>0.29893438535948158</v>
      </c>
      <c r="D549" t="s">
        <v>242</v>
      </c>
      <c r="E549" t="s">
        <v>328</v>
      </c>
      <c r="F549" t="s">
        <v>326</v>
      </c>
      <c r="G549" t="s">
        <v>245</v>
      </c>
    </row>
    <row r="550" spans="1:7" hidden="1" x14ac:dyDescent="0.2">
      <c r="A550" t="s">
        <v>25</v>
      </c>
      <c r="B550" t="s">
        <v>86</v>
      </c>
      <c r="C550" s="4">
        <f>0.00154025450133466 * 39.5633073000283%</f>
        <v>6.0937562156555001E-4</v>
      </c>
      <c r="D550" t="s">
        <v>242</v>
      </c>
      <c r="E550" t="s">
        <v>290</v>
      </c>
      <c r="F550" t="s">
        <v>326</v>
      </c>
      <c r="G550" t="s">
        <v>245</v>
      </c>
    </row>
    <row r="551" spans="1:7" hidden="1" x14ac:dyDescent="0.2">
      <c r="A551" t="s">
        <v>25</v>
      </c>
      <c r="B551" t="s">
        <v>86</v>
      </c>
      <c r="C551" s="4">
        <f>4.63438553364394E-10 * 39.5633073000283%</f>
        <v>1.8335161901436084E-10</v>
      </c>
      <c r="D551" t="s">
        <v>256</v>
      </c>
      <c r="E551" t="s">
        <v>324</v>
      </c>
      <c r="F551" t="s">
        <v>326</v>
      </c>
      <c r="G551" t="s">
        <v>245</v>
      </c>
    </row>
    <row r="552" spans="1:7" hidden="1" x14ac:dyDescent="0.2">
      <c r="A552" t="s">
        <v>25</v>
      </c>
      <c r="B552" t="s">
        <v>86</v>
      </c>
      <c r="C552" s="4">
        <f>1.80533525994585E-09 * 39.5633073000283%</f>
        <v>7.1425033668814135E-10</v>
      </c>
      <c r="D552" t="s">
        <v>256</v>
      </c>
      <c r="E552" t="s">
        <v>325</v>
      </c>
      <c r="F552" t="s">
        <v>326</v>
      </c>
      <c r="G552" t="s">
        <v>245</v>
      </c>
    </row>
    <row r="553" spans="1:7" hidden="1" x14ac:dyDescent="0.2">
      <c r="A553" t="s">
        <v>25</v>
      </c>
      <c r="B553" t="s">
        <v>86</v>
      </c>
      <c r="C553" s="4">
        <f>0.000343246436607167 * 39.5633073000283%</f>
        <v>1.357996425112903E-4</v>
      </c>
      <c r="D553" t="s">
        <v>256</v>
      </c>
      <c r="E553" t="s">
        <v>281</v>
      </c>
      <c r="F553" t="s">
        <v>326</v>
      </c>
      <c r="G553" t="s">
        <v>245</v>
      </c>
    </row>
    <row r="554" spans="1:7" hidden="1" x14ac:dyDescent="0.2">
      <c r="A554" t="s">
        <v>25</v>
      </c>
      <c r="B554" t="s">
        <v>159</v>
      </c>
      <c r="C554" s="4">
        <f>0.212937718373242 * 4.49865989918674%</f>
        <v>9.5793437467002335E-3</v>
      </c>
      <c r="D554" t="s">
        <v>242</v>
      </c>
      <c r="E554" t="s">
        <v>329</v>
      </c>
      <c r="F554" t="s">
        <v>326</v>
      </c>
      <c r="G554" t="s">
        <v>245</v>
      </c>
    </row>
    <row r="555" spans="1:7" hidden="1" x14ac:dyDescent="0.2">
      <c r="A555" t="s">
        <v>25</v>
      </c>
      <c r="B555" t="s">
        <v>159</v>
      </c>
      <c r="C555" s="4">
        <f>0.755584923910716 * 4.49865989918674%</f>
        <v>3.3991195976272023E-2</v>
      </c>
      <c r="D555" t="s">
        <v>242</v>
      </c>
      <c r="E555" t="s">
        <v>328</v>
      </c>
      <c r="F555" t="s">
        <v>326</v>
      </c>
      <c r="G555" t="s">
        <v>245</v>
      </c>
    </row>
    <row r="556" spans="1:7" hidden="1" x14ac:dyDescent="0.2">
      <c r="A556" t="s">
        <v>25</v>
      </c>
      <c r="B556" t="s">
        <v>159</v>
      </c>
      <c r="C556" s="4">
        <f>0.00154025450133466 * 4.49865989918674%</f>
        <v>6.9290811596961046E-5</v>
      </c>
      <c r="D556" t="s">
        <v>242</v>
      </c>
      <c r="E556" t="s">
        <v>290</v>
      </c>
      <c r="F556" t="s">
        <v>326</v>
      </c>
      <c r="G556" t="s">
        <v>245</v>
      </c>
    </row>
    <row r="557" spans="1:7" hidden="1" x14ac:dyDescent="0.2">
      <c r="A557" t="s">
        <v>25</v>
      </c>
      <c r="B557" t="s">
        <v>159</v>
      </c>
      <c r="C557" s="4">
        <f>4.63438553364394E-10 * 4.49865989918674%</f>
        <v>2.0848524357575133E-11</v>
      </c>
      <c r="D557" t="s">
        <v>256</v>
      </c>
      <c r="E557" t="s">
        <v>324</v>
      </c>
      <c r="F557" t="s">
        <v>326</v>
      </c>
      <c r="G557" t="s">
        <v>245</v>
      </c>
    </row>
    <row r="558" spans="1:7" hidden="1" x14ac:dyDescent="0.2">
      <c r="A558" t="s">
        <v>25</v>
      </c>
      <c r="B558" t="s">
        <v>159</v>
      </c>
      <c r="C558" s="4">
        <f>1.80533525994585E-09 * 4.49865989918674%</f>
        <v>8.1215893385062649E-11</v>
      </c>
      <c r="D558" t="s">
        <v>256</v>
      </c>
      <c r="E558" t="s">
        <v>325</v>
      </c>
      <c r="F558" t="s">
        <v>326</v>
      </c>
      <c r="G558" t="s">
        <v>245</v>
      </c>
    </row>
    <row r="559" spans="1:7" hidden="1" x14ac:dyDescent="0.2">
      <c r="A559" t="s">
        <v>25</v>
      </c>
      <c r="B559" t="s">
        <v>159</v>
      </c>
      <c r="C559" s="4">
        <f>0.000343246436607167 * 4.49865989918674%</f>
        <v>1.5441489799034058E-5</v>
      </c>
      <c r="D559" t="s">
        <v>256</v>
      </c>
      <c r="E559" t="s">
        <v>281</v>
      </c>
      <c r="F559" t="s">
        <v>326</v>
      </c>
      <c r="G559" t="s">
        <v>245</v>
      </c>
    </row>
    <row r="560" spans="1:7" hidden="1" x14ac:dyDescent="0.2">
      <c r="A560" t="s">
        <v>25</v>
      </c>
      <c r="B560" t="s">
        <v>166</v>
      </c>
      <c r="C560" s="4">
        <f>0.212937718373242 * 0.00238175260592974%</f>
        <v>5.0716496563620223E-6</v>
      </c>
      <c r="D560" t="s">
        <v>242</v>
      </c>
      <c r="E560" t="s">
        <v>329</v>
      </c>
      <c r="F560" t="s">
        <v>326</v>
      </c>
      <c r="G560" t="s">
        <v>245</v>
      </c>
    </row>
    <row r="561" spans="1:7" hidden="1" x14ac:dyDescent="0.2">
      <c r="A561" t="s">
        <v>25</v>
      </c>
      <c r="B561" t="s">
        <v>166</v>
      </c>
      <c r="C561" s="4">
        <f>0.755584923910716 * 0.00238175260592974%</f>
        <v>1.7996163615255721E-5</v>
      </c>
      <c r="D561" t="s">
        <v>242</v>
      </c>
      <c r="E561" t="s">
        <v>328</v>
      </c>
      <c r="F561" t="s">
        <v>326</v>
      </c>
      <c r="G561" t="s">
        <v>245</v>
      </c>
    </row>
    <row r="562" spans="1:7" hidden="1" x14ac:dyDescent="0.2">
      <c r="A562" t="s">
        <v>25</v>
      </c>
      <c r="B562" t="s">
        <v>166</v>
      </c>
      <c r="C562" s="4">
        <f>0.00154025450133466 * 0.00238175260592974%</f>
        <v>3.6685051723488388E-8</v>
      </c>
      <c r="D562" t="s">
        <v>242</v>
      </c>
      <c r="E562" t="s">
        <v>290</v>
      </c>
      <c r="F562" t="s">
        <v>326</v>
      </c>
      <c r="G562" t="s">
        <v>245</v>
      </c>
    </row>
    <row r="563" spans="1:7" hidden="1" x14ac:dyDescent="0.2">
      <c r="A563" t="s">
        <v>25</v>
      </c>
      <c r="B563" t="s">
        <v>166</v>
      </c>
      <c r="C563" s="4">
        <f>4.63438553364394E-10 * 0.00238175260592974%</f>
        <v>1.1037959821639543E-14</v>
      </c>
      <c r="D563" t="s">
        <v>256</v>
      </c>
      <c r="E563" t="s">
        <v>324</v>
      </c>
      <c r="F563" t="s">
        <v>326</v>
      </c>
      <c r="G563" t="s">
        <v>245</v>
      </c>
    </row>
    <row r="564" spans="1:7" hidden="1" x14ac:dyDescent="0.2">
      <c r="A564" t="s">
        <v>25</v>
      </c>
      <c r="B564" t="s">
        <v>166</v>
      </c>
      <c r="C564" s="4">
        <f>1.80533525994585E-09 * 0.00238175260592974%</f>
        <v>4.2998619599528724E-14</v>
      </c>
      <c r="D564" t="s">
        <v>256</v>
      </c>
      <c r="E564" t="s">
        <v>325</v>
      </c>
      <c r="F564" t="s">
        <v>326</v>
      </c>
      <c r="G564" t="s">
        <v>245</v>
      </c>
    </row>
    <row r="565" spans="1:7" hidden="1" x14ac:dyDescent="0.2">
      <c r="A565" t="s">
        <v>25</v>
      </c>
      <c r="B565" t="s">
        <v>166</v>
      </c>
      <c r="C565" s="4">
        <f>0.000343246436607167 * 0.00238175260592974%</f>
        <v>8.1752809486521735E-9</v>
      </c>
      <c r="D565" t="s">
        <v>256</v>
      </c>
      <c r="E565" t="s">
        <v>281</v>
      </c>
      <c r="F565" t="s">
        <v>326</v>
      </c>
      <c r="G565" t="s">
        <v>245</v>
      </c>
    </row>
    <row r="566" spans="1:7" hidden="1" x14ac:dyDescent="0.2">
      <c r="A566" t="s">
        <v>25</v>
      </c>
      <c r="B566" t="s">
        <v>128</v>
      </c>
      <c r="C566" s="4">
        <f>0.212937718373242 * 0.0164032548617751%</f>
        <v>3.4928716641611791E-5</v>
      </c>
      <c r="D566" t="s">
        <v>242</v>
      </c>
      <c r="E566" t="s">
        <v>329</v>
      </c>
      <c r="F566" t="s">
        <v>326</v>
      </c>
      <c r="G566" t="s">
        <v>245</v>
      </c>
    </row>
    <row r="567" spans="1:7" hidden="1" x14ac:dyDescent="0.2">
      <c r="A567" t="s">
        <v>25</v>
      </c>
      <c r="B567" t="s">
        <v>128</v>
      </c>
      <c r="C567" s="4">
        <f>0.755584923910716 * 0.0164032548617751%</f>
        <v>1.2394052076622423E-4</v>
      </c>
      <c r="D567" t="s">
        <v>242</v>
      </c>
      <c r="E567" t="s">
        <v>328</v>
      </c>
      <c r="F567" t="s">
        <v>326</v>
      </c>
      <c r="G567" t="s">
        <v>245</v>
      </c>
    </row>
    <row r="568" spans="1:7" hidden="1" x14ac:dyDescent="0.2">
      <c r="A568" t="s">
        <v>25</v>
      </c>
      <c r="B568" t="s">
        <v>128</v>
      </c>
      <c r="C568" s="4">
        <f>0.00154025450133466 * 0.0164032548617751%</f>
        <v>2.5265187137388748E-7</v>
      </c>
      <c r="D568" t="s">
        <v>242</v>
      </c>
      <c r="E568" t="s">
        <v>290</v>
      </c>
      <c r="F568" t="s">
        <v>326</v>
      </c>
      <c r="G568" t="s">
        <v>245</v>
      </c>
    </row>
    <row r="569" spans="1:7" hidden="1" x14ac:dyDescent="0.2">
      <c r="A569" t="s">
        <v>25</v>
      </c>
      <c r="B569" t="s">
        <v>128</v>
      </c>
      <c r="C569" s="4">
        <f>4.63438553364394E-10 * 0.0164032548617751%</f>
        <v>7.6019007036085157E-14</v>
      </c>
      <c r="D569" t="s">
        <v>256</v>
      </c>
      <c r="E569" t="s">
        <v>324</v>
      </c>
      <c r="F569" t="s">
        <v>326</v>
      </c>
      <c r="G569" t="s">
        <v>245</v>
      </c>
    </row>
    <row r="570" spans="1:7" hidden="1" x14ac:dyDescent="0.2">
      <c r="A570" t="s">
        <v>25</v>
      </c>
      <c r="B570" t="s">
        <v>128</v>
      </c>
      <c r="C570" s="4">
        <f>1.80533525994585E-09 * 0.0164032548617751%</f>
        <v>2.961337437984078E-13</v>
      </c>
      <c r="D570" t="s">
        <v>256</v>
      </c>
      <c r="E570" t="s">
        <v>325</v>
      </c>
      <c r="F570" t="s">
        <v>326</v>
      </c>
      <c r="G570" t="s">
        <v>245</v>
      </c>
    </row>
    <row r="571" spans="1:7" hidden="1" x14ac:dyDescent="0.2">
      <c r="A571" t="s">
        <v>25</v>
      </c>
      <c r="B571" t="s">
        <v>128</v>
      </c>
      <c r="C571" s="4">
        <f>0.000343246436607167 * 0.0164032548617751%</f>
        <v>5.6303587800634914E-8</v>
      </c>
      <c r="D571" t="s">
        <v>256</v>
      </c>
      <c r="E571" t="s">
        <v>281</v>
      </c>
      <c r="F571" t="s">
        <v>326</v>
      </c>
      <c r="G571" t="s">
        <v>245</v>
      </c>
    </row>
    <row r="572" spans="1:7" hidden="1" x14ac:dyDescent="0.2">
      <c r="A572" t="s">
        <v>25</v>
      </c>
      <c r="B572" t="s">
        <v>154</v>
      </c>
      <c r="C572" s="4">
        <f>0.212937718373242 * 0.040585753341747%</f>
        <v>8.642237715050788E-5</v>
      </c>
      <c r="D572" t="s">
        <v>242</v>
      </c>
      <c r="E572" t="s">
        <v>329</v>
      </c>
      <c r="F572" t="s">
        <v>326</v>
      </c>
      <c r="G572" t="s">
        <v>245</v>
      </c>
    </row>
    <row r="573" spans="1:7" hidden="1" x14ac:dyDescent="0.2">
      <c r="A573" t="s">
        <v>25</v>
      </c>
      <c r="B573" t="s">
        <v>154</v>
      </c>
      <c r="C573" s="4">
        <f>0.755584923910716 * 0.040585753341747%</f>
        <v>3.0665983350582993E-4</v>
      </c>
      <c r="D573" t="s">
        <v>242</v>
      </c>
      <c r="E573" t="s">
        <v>328</v>
      </c>
      <c r="F573" t="s">
        <v>326</v>
      </c>
      <c r="G573" t="s">
        <v>245</v>
      </c>
    </row>
    <row r="574" spans="1:7" hidden="1" x14ac:dyDescent="0.2">
      <c r="A574" t="s">
        <v>25</v>
      </c>
      <c r="B574" t="s">
        <v>154</v>
      </c>
      <c r="C574" s="4">
        <f>0.00154025450133466 * 0.040585753341747%</f>
        <v>6.251238927468404E-7</v>
      </c>
      <c r="D574" t="s">
        <v>242</v>
      </c>
      <c r="E574" t="s">
        <v>290</v>
      </c>
      <c r="F574" t="s">
        <v>326</v>
      </c>
      <c r="G574" t="s">
        <v>245</v>
      </c>
    </row>
    <row r="575" spans="1:7" hidden="1" x14ac:dyDescent="0.2">
      <c r="A575" t="s">
        <v>25</v>
      </c>
      <c r="B575" t="s">
        <v>154</v>
      </c>
      <c r="C575" s="4">
        <f>4.63438553364394E-10 * 0.040585753341747%</f>
        <v>1.8809002815903348E-13</v>
      </c>
      <c r="D575" t="s">
        <v>256</v>
      </c>
      <c r="E575" t="s">
        <v>324</v>
      </c>
      <c r="F575" t="s">
        <v>326</v>
      </c>
      <c r="G575" t="s">
        <v>245</v>
      </c>
    </row>
    <row r="576" spans="1:7" hidden="1" x14ac:dyDescent="0.2">
      <c r="A576" t="s">
        <v>25</v>
      </c>
      <c r="B576" t="s">
        <v>154</v>
      </c>
      <c r="C576" s="4">
        <f>1.80533525994585E-09 * 0.040585753341747%</f>
        <v>7.3270891559320968E-13</v>
      </c>
      <c r="D576" t="s">
        <v>256</v>
      </c>
      <c r="E576" t="s">
        <v>325</v>
      </c>
      <c r="F576" t="s">
        <v>326</v>
      </c>
      <c r="G576" t="s">
        <v>245</v>
      </c>
    </row>
    <row r="577" spans="1:7" hidden="1" x14ac:dyDescent="0.2">
      <c r="A577" t="s">
        <v>25</v>
      </c>
      <c r="B577" t="s">
        <v>154</v>
      </c>
      <c r="C577" s="4">
        <f>0.000343246436607167 * 0.040585753341747%</f>
        <v>1.3930915211572078E-7</v>
      </c>
      <c r="D577" t="s">
        <v>256</v>
      </c>
      <c r="E577" t="s">
        <v>281</v>
      </c>
      <c r="F577" t="s">
        <v>326</v>
      </c>
      <c r="G577" t="s">
        <v>245</v>
      </c>
    </row>
    <row r="578" spans="1:7" hidden="1" x14ac:dyDescent="0.2">
      <c r="A578" t="s">
        <v>25</v>
      </c>
      <c r="B578" t="s">
        <v>117</v>
      </c>
      <c r="C578" s="4">
        <f>0.212937718373242 * 2.66839948463926%</f>
        <v>5.6820289796741877E-3</v>
      </c>
      <c r="D578" t="s">
        <v>242</v>
      </c>
      <c r="E578" t="s">
        <v>329</v>
      </c>
      <c r="F578" t="s">
        <v>326</v>
      </c>
      <c r="G578" t="s">
        <v>245</v>
      </c>
    </row>
    <row r="579" spans="1:7" hidden="1" x14ac:dyDescent="0.2">
      <c r="A579" t="s">
        <v>25</v>
      </c>
      <c r="B579" t="s">
        <v>117</v>
      </c>
      <c r="C579" s="4">
        <f>0.755584923910716 * 2.66839948463926%</f>
        <v>2.0162024215645488E-2</v>
      </c>
      <c r="D579" t="s">
        <v>242</v>
      </c>
      <c r="E579" t="s">
        <v>328</v>
      </c>
      <c r="F579" t="s">
        <v>326</v>
      </c>
      <c r="G579" t="s">
        <v>245</v>
      </c>
    </row>
    <row r="580" spans="1:7" hidden="1" x14ac:dyDescent="0.2">
      <c r="A580" t="s">
        <v>25</v>
      </c>
      <c r="B580" t="s">
        <v>117</v>
      </c>
      <c r="C580" s="4">
        <f>0.00154025450133466 * 2.66839948463926%</f>
        <v>4.1100143175747065E-5</v>
      </c>
      <c r="D580" t="s">
        <v>242</v>
      </c>
      <c r="E580" t="s">
        <v>290</v>
      </c>
      <c r="F580" t="s">
        <v>326</v>
      </c>
      <c r="G580" t="s">
        <v>245</v>
      </c>
    </row>
    <row r="581" spans="1:7" hidden="1" x14ac:dyDescent="0.2">
      <c r="A581" t="s">
        <v>25</v>
      </c>
      <c r="B581" t="s">
        <v>117</v>
      </c>
      <c r="C581" s="4">
        <f>4.63438553364394E-10 * 2.66839948463926%</f>
        <v>1.236639196959513E-11</v>
      </c>
      <c r="D581" t="s">
        <v>256</v>
      </c>
      <c r="E581" t="s">
        <v>324</v>
      </c>
      <c r="F581" t="s">
        <v>326</v>
      </c>
      <c r="G581" t="s">
        <v>245</v>
      </c>
    </row>
    <row r="582" spans="1:7" hidden="1" x14ac:dyDescent="0.2">
      <c r="A582" t="s">
        <v>25</v>
      </c>
      <c r="B582" t="s">
        <v>117</v>
      </c>
      <c r="C582" s="4">
        <f>1.80533525994585E-09 * 2.66839948463926%</f>
        <v>4.8173556772405899E-11</v>
      </c>
      <c r="D582" t="s">
        <v>256</v>
      </c>
      <c r="E582" t="s">
        <v>325</v>
      </c>
      <c r="F582" t="s">
        <v>326</v>
      </c>
      <c r="G582" t="s">
        <v>245</v>
      </c>
    </row>
    <row r="583" spans="1:7" hidden="1" x14ac:dyDescent="0.2">
      <c r="A583" t="s">
        <v>25</v>
      </c>
      <c r="B583" t="s">
        <v>117</v>
      </c>
      <c r="C583" s="4">
        <f>0.000343246436607167 * 2.66839948463926%</f>
        <v>9.1591861454682681E-6</v>
      </c>
      <c r="D583" t="s">
        <v>256</v>
      </c>
      <c r="E583" t="s">
        <v>281</v>
      </c>
      <c r="F583" t="s">
        <v>326</v>
      </c>
      <c r="G583" t="s">
        <v>245</v>
      </c>
    </row>
    <row r="584" spans="1:7" hidden="1" x14ac:dyDescent="0.2">
      <c r="A584" t="s">
        <v>25</v>
      </c>
      <c r="B584" t="s">
        <v>97</v>
      </c>
      <c r="C584" s="4">
        <f>0.212937718373242 * 2.77896726436054%</f>
        <v>5.9174694870686335E-3</v>
      </c>
      <c r="D584" t="s">
        <v>242</v>
      </c>
      <c r="E584" t="s">
        <v>329</v>
      </c>
      <c r="F584" t="s">
        <v>326</v>
      </c>
      <c r="G584" t="s">
        <v>245</v>
      </c>
    </row>
    <row r="585" spans="1:7" hidden="1" x14ac:dyDescent="0.2">
      <c r="A585" t="s">
        <v>25</v>
      </c>
      <c r="B585" t="s">
        <v>97</v>
      </c>
      <c r="C585" s="4">
        <f>0.755584923910716 * 2.77896726436054%</f>
        <v>2.099745768992229E-2</v>
      </c>
      <c r="D585" t="s">
        <v>242</v>
      </c>
      <c r="E585" t="s">
        <v>328</v>
      </c>
      <c r="F585" t="s">
        <v>326</v>
      </c>
      <c r="G585" t="s">
        <v>245</v>
      </c>
    </row>
    <row r="586" spans="1:7" hidden="1" x14ac:dyDescent="0.2">
      <c r="A586" t="s">
        <v>25</v>
      </c>
      <c r="B586" t="s">
        <v>97</v>
      </c>
      <c r="C586" s="4">
        <f>0.00154025450133466 * 2.77896726436054%</f>
        <v>4.2803168379929875E-5</v>
      </c>
      <c r="D586" t="s">
        <v>242</v>
      </c>
      <c r="E586" t="s">
        <v>290</v>
      </c>
      <c r="F586" t="s">
        <v>326</v>
      </c>
      <c r="G586" t="s">
        <v>245</v>
      </c>
    </row>
    <row r="587" spans="1:7" hidden="1" x14ac:dyDescent="0.2">
      <c r="A587" t="s">
        <v>25</v>
      </c>
      <c r="B587" t="s">
        <v>97</v>
      </c>
      <c r="C587" s="4">
        <f>4.63438553364394E-10 * 2.77896726436054%</f>
        <v>1.2878805688422561E-11</v>
      </c>
      <c r="D587" t="s">
        <v>256</v>
      </c>
      <c r="E587" t="s">
        <v>324</v>
      </c>
      <c r="F587" t="s">
        <v>326</v>
      </c>
      <c r="G587" t="s">
        <v>245</v>
      </c>
    </row>
    <row r="588" spans="1:7" hidden="1" x14ac:dyDescent="0.2">
      <c r="A588" t="s">
        <v>25</v>
      </c>
      <c r="B588" t="s">
        <v>97</v>
      </c>
      <c r="C588" s="4">
        <f>1.80533525994585E-09 * 2.77896726436054%</f>
        <v>5.0169675885853431E-11</v>
      </c>
      <c r="D588" t="s">
        <v>256</v>
      </c>
      <c r="E588" t="s">
        <v>325</v>
      </c>
      <c r="F588" t="s">
        <v>326</v>
      </c>
      <c r="G588" t="s">
        <v>245</v>
      </c>
    </row>
    <row r="589" spans="1:7" hidden="1" x14ac:dyDescent="0.2">
      <c r="A589" t="s">
        <v>25</v>
      </c>
      <c r="B589" t="s">
        <v>97</v>
      </c>
      <c r="C589" s="4">
        <f>0.000343246436607167 * 2.77896726436054%</f>
        <v>9.5387061093972227E-6</v>
      </c>
      <c r="D589" t="s">
        <v>256</v>
      </c>
      <c r="E589" t="s">
        <v>281</v>
      </c>
      <c r="F589" t="s">
        <v>326</v>
      </c>
      <c r="G589" t="s">
        <v>245</v>
      </c>
    </row>
    <row r="590" spans="1:7" hidden="1" x14ac:dyDescent="0.2">
      <c r="A590" t="s">
        <v>25</v>
      </c>
      <c r="B590" t="s">
        <v>98</v>
      </c>
      <c r="C590" s="4">
        <f>0.212937718373242 * 1.11350543043285%</f>
        <v>2.3710730575258582E-3</v>
      </c>
      <c r="D590" t="s">
        <v>242</v>
      </c>
      <c r="E590" t="s">
        <v>329</v>
      </c>
      <c r="F590" t="s">
        <v>326</v>
      </c>
      <c r="G590" t="s">
        <v>245</v>
      </c>
    </row>
    <row r="591" spans="1:7" hidden="1" x14ac:dyDescent="0.2">
      <c r="A591" t="s">
        <v>25</v>
      </c>
      <c r="B591" t="s">
        <v>98</v>
      </c>
      <c r="C591" s="4">
        <f>0.755584923910716 * 1.11350543043285%</f>
        <v>8.4134791592777401E-3</v>
      </c>
      <c r="D591" t="s">
        <v>242</v>
      </c>
      <c r="E591" t="s">
        <v>328</v>
      </c>
      <c r="F591" t="s">
        <v>326</v>
      </c>
      <c r="G591" t="s">
        <v>245</v>
      </c>
    </row>
    <row r="592" spans="1:7" hidden="1" x14ac:dyDescent="0.2">
      <c r="A592" t="s">
        <v>25</v>
      </c>
      <c r="B592" t="s">
        <v>98</v>
      </c>
      <c r="C592" s="4">
        <f>0.00154025450133466 * 1.11350543043285%</f>
        <v>1.7150817514847854E-5</v>
      </c>
      <c r="D592" t="s">
        <v>242</v>
      </c>
      <c r="E592" t="s">
        <v>290</v>
      </c>
      <c r="F592" t="s">
        <v>326</v>
      </c>
      <c r="G592" t="s">
        <v>245</v>
      </c>
    </row>
    <row r="593" spans="1:7" hidden="1" x14ac:dyDescent="0.2">
      <c r="A593" t="s">
        <v>25</v>
      </c>
      <c r="B593" t="s">
        <v>98</v>
      </c>
      <c r="C593" s="4">
        <f>4.63438553364394E-10 * 1.11350543043285%</f>
        <v>5.1604134584319684E-12</v>
      </c>
      <c r="D593" t="s">
        <v>256</v>
      </c>
      <c r="E593" t="s">
        <v>324</v>
      </c>
      <c r="F593" t="s">
        <v>326</v>
      </c>
      <c r="G593" t="s">
        <v>245</v>
      </c>
    </row>
    <row r="594" spans="1:7" hidden="1" x14ac:dyDescent="0.2">
      <c r="A594" t="s">
        <v>25</v>
      </c>
      <c r="B594" t="s">
        <v>98</v>
      </c>
      <c r="C594" s="4">
        <f>1.80533525994585E-09 * 1.11350543043285%</f>
        <v>2.0102506157016047E-11</v>
      </c>
      <c r="D594" t="s">
        <v>256</v>
      </c>
      <c r="E594" t="s">
        <v>325</v>
      </c>
      <c r="F594" t="s">
        <v>326</v>
      </c>
      <c r="G594" t="s">
        <v>245</v>
      </c>
    </row>
    <row r="595" spans="1:7" hidden="1" x14ac:dyDescent="0.2">
      <c r="A595" t="s">
        <v>25</v>
      </c>
      <c r="B595" t="s">
        <v>98</v>
      </c>
      <c r="C595" s="4">
        <f>0.000343246436607167 * 1.11350543043285%</f>
        <v>3.8220677113880543E-6</v>
      </c>
      <c r="D595" t="s">
        <v>256</v>
      </c>
      <c r="E595" t="s">
        <v>281</v>
      </c>
      <c r="F595" t="s">
        <v>326</v>
      </c>
      <c r="G595" t="s">
        <v>245</v>
      </c>
    </row>
    <row r="596" spans="1:7" hidden="1" x14ac:dyDescent="0.2">
      <c r="A596" t="s">
        <v>25</v>
      </c>
      <c r="B596" t="s">
        <v>99</v>
      </c>
      <c r="C596" s="4">
        <f>0.212937718373242 * 1.00276541653552%</f>
        <v>2.1352657986066725E-3</v>
      </c>
      <c r="D596" t="s">
        <v>242</v>
      </c>
      <c r="E596" t="s">
        <v>329</v>
      </c>
      <c r="F596" t="s">
        <v>326</v>
      </c>
      <c r="G596" t="s">
        <v>245</v>
      </c>
    </row>
    <row r="597" spans="1:7" hidden="1" x14ac:dyDescent="0.2">
      <c r="A597" t="s">
        <v>25</v>
      </c>
      <c r="B597" t="s">
        <v>99</v>
      </c>
      <c r="C597" s="4">
        <f>0.755584923910716 * 1.00276541653552%</f>
        <v>7.5767443095328835E-3</v>
      </c>
      <c r="D597" t="s">
        <v>242</v>
      </c>
      <c r="E597" t="s">
        <v>328</v>
      </c>
      <c r="F597" t="s">
        <v>326</v>
      </c>
      <c r="G597" t="s">
        <v>245</v>
      </c>
    </row>
    <row r="598" spans="1:7" hidden="1" x14ac:dyDescent="0.2">
      <c r="A598" t="s">
        <v>25</v>
      </c>
      <c r="B598" t="s">
        <v>99</v>
      </c>
      <c r="C598" s="4">
        <f>0.00154025450133466 * 1.00276541653552%</f>
        <v>1.5445139466015602E-5</v>
      </c>
      <c r="D598" t="s">
        <v>242</v>
      </c>
      <c r="E598" t="s">
        <v>290</v>
      </c>
      <c r="F598" t="s">
        <v>326</v>
      </c>
      <c r="G598" t="s">
        <v>245</v>
      </c>
    </row>
    <row r="599" spans="1:7" hidden="1" x14ac:dyDescent="0.2">
      <c r="A599" t="s">
        <v>25</v>
      </c>
      <c r="B599" t="s">
        <v>99</v>
      </c>
      <c r="C599" s="4">
        <f>4.63438553364394E-10 * 1.00276541653552%</f>
        <v>4.6472015400306536E-12</v>
      </c>
      <c r="D599" t="s">
        <v>256</v>
      </c>
      <c r="E599" t="s">
        <v>324</v>
      </c>
      <c r="F599" t="s">
        <v>326</v>
      </c>
      <c r="G599" t="s">
        <v>245</v>
      </c>
    </row>
    <row r="600" spans="1:7" hidden="1" x14ac:dyDescent="0.2">
      <c r="A600" t="s">
        <v>25</v>
      </c>
      <c r="B600" t="s">
        <v>99</v>
      </c>
      <c r="C600" s="4">
        <f>1.80533525994585E-09 * 1.00276541653552%</f>
        <v>1.8103277639258615E-11</v>
      </c>
      <c r="D600" t="s">
        <v>256</v>
      </c>
      <c r="E600" t="s">
        <v>325</v>
      </c>
      <c r="F600" t="s">
        <v>326</v>
      </c>
      <c r="G600" t="s">
        <v>245</v>
      </c>
    </row>
    <row r="601" spans="1:7" hidden="1" x14ac:dyDescent="0.2">
      <c r="A601" t="s">
        <v>25</v>
      </c>
      <c r="B601" t="s">
        <v>99</v>
      </c>
      <c r="C601" s="4">
        <f>0.000343246436607167 * 1.00276541653552%</f>
        <v>3.4419565597871878E-6</v>
      </c>
      <c r="D601" t="s">
        <v>256</v>
      </c>
      <c r="E601" t="s">
        <v>281</v>
      </c>
      <c r="F601" t="s">
        <v>326</v>
      </c>
      <c r="G601" t="s">
        <v>245</v>
      </c>
    </row>
    <row r="602" spans="1:7" hidden="1" x14ac:dyDescent="0.2">
      <c r="A602" t="s">
        <v>25</v>
      </c>
      <c r="B602" t="s">
        <v>182</v>
      </c>
      <c r="C602" s="4">
        <f>0.212937718373242 * 0.0462571787102057%</f>
        <v>9.8498980929345067E-5</v>
      </c>
      <c r="D602" t="s">
        <v>242</v>
      </c>
      <c r="E602" t="s">
        <v>329</v>
      </c>
      <c r="F602" t="s">
        <v>326</v>
      </c>
      <c r="G602" t="s">
        <v>245</v>
      </c>
    </row>
    <row r="603" spans="1:7" hidden="1" x14ac:dyDescent="0.2">
      <c r="A603" t="s">
        <v>25</v>
      </c>
      <c r="B603" t="s">
        <v>182</v>
      </c>
      <c r="C603" s="4">
        <f>0.755584923910716 * 0.0462571787102057%</f>
        <v>3.4951226856075166E-4</v>
      </c>
      <c r="D603" t="s">
        <v>242</v>
      </c>
      <c r="E603" t="s">
        <v>328</v>
      </c>
      <c r="F603" t="s">
        <v>326</v>
      </c>
      <c r="G603" t="s">
        <v>245</v>
      </c>
    </row>
    <row r="604" spans="1:7" hidden="1" x14ac:dyDescent="0.2">
      <c r="A604" t="s">
        <v>25</v>
      </c>
      <c r="B604" t="s">
        <v>182</v>
      </c>
      <c r="C604" s="4">
        <f>0.00154025450133466 * 0.0462571787102057%</f>
        <v>7.1247827727436142E-7</v>
      </c>
      <c r="D604" t="s">
        <v>242</v>
      </c>
      <c r="E604" t="s">
        <v>290</v>
      </c>
      <c r="F604" t="s">
        <v>326</v>
      </c>
      <c r="G604" t="s">
        <v>245</v>
      </c>
    </row>
    <row r="605" spans="1:7" hidden="1" x14ac:dyDescent="0.2">
      <c r="A605" t="s">
        <v>25</v>
      </c>
      <c r="B605" t="s">
        <v>182</v>
      </c>
      <c r="C605" s="4">
        <f>4.63438553364394E-10 * 0.0462571787102057%</f>
        <v>2.1437359984175976E-13</v>
      </c>
      <c r="D605" t="s">
        <v>256</v>
      </c>
      <c r="E605" t="s">
        <v>324</v>
      </c>
      <c r="F605" t="s">
        <v>326</v>
      </c>
      <c r="G605" t="s">
        <v>245</v>
      </c>
    </row>
    <row r="606" spans="1:7" hidden="1" x14ac:dyDescent="0.2">
      <c r="A606" t="s">
        <v>25</v>
      </c>
      <c r="B606" t="s">
        <v>182</v>
      </c>
      <c r="C606" s="4">
        <f>1.80533525994585E-09 * 0.0462571787102057%</f>
        <v>8.3509715751150851E-13</v>
      </c>
      <c r="D606" t="s">
        <v>256</v>
      </c>
      <c r="E606" t="s">
        <v>325</v>
      </c>
      <c r="F606" t="s">
        <v>326</v>
      </c>
      <c r="G606" t="s">
        <v>245</v>
      </c>
    </row>
    <row r="607" spans="1:7" hidden="1" x14ac:dyDescent="0.2">
      <c r="A607" t="s">
        <v>25</v>
      </c>
      <c r="B607" t="s">
        <v>182</v>
      </c>
      <c r="C607" s="4">
        <f>0.000343246436607167 * 0.0462571787102057%</f>
        <v>1.5877611759779016E-7</v>
      </c>
      <c r="D607" t="s">
        <v>256</v>
      </c>
      <c r="E607" t="s">
        <v>281</v>
      </c>
      <c r="F607" t="s">
        <v>326</v>
      </c>
      <c r="G607" t="s">
        <v>245</v>
      </c>
    </row>
    <row r="608" spans="1:7" hidden="1" x14ac:dyDescent="0.2">
      <c r="A608" t="s">
        <v>25</v>
      </c>
      <c r="B608" t="s">
        <v>119</v>
      </c>
      <c r="C608" s="4">
        <f>0.212937718373242 * 6.29452432861457%</f>
        <v>1.3403416487800494E-2</v>
      </c>
      <c r="D608" t="s">
        <v>242</v>
      </c>
      <c r="E608" t="s">
        <v>329</v>
      </c>
      <c r="F608" t="s">
        <v>326</v>
      </c>
      <c r="G608" t="s">
        <v>245</v>
      </c>
    </row>
    <row r="609" spans="1:7" hidden="1" x14ac:dyDescent="0.2">
      <c r="A609" t="s">
        <v>25</v>
      </c>
      <c r="B609" t="s">
        <v>119</v>
      </c>
      <c r="C609" s="4">
        <f>0.755584923910716 * 6.29452432861457%</f>
        <v>4.7560476858903904E-2</v>
      </c>
      <c r="D609" t="s">
        <v>242</v>
      </c>
      <c r="E609" t="s">
        <v>328</v>
      </c>
      <c r="F609" t="s">
        <v>326</v>
      </c>
      <c r="G609" t="s">
        <v>245</v>
      </c>
    </row>
    <row r="610" spans="1:7" hidden="1" x14ac:dyDescent="0.2">
      <c r="A610" t="s">
        <v>25</v>
      </c>
      <c r="B610" t="s">
        <v>119</v>
      </c>
      <c r="C610" s="4">
        <f>0.00154025450133466 * 6.29452432861457%</f>
        <v>9.6951694309091205E-5</v>
      </c>
      <c r="D610" t="s">
        <v>242</v>
      </c>
      <c r="E610" t="s">
        <v>290</v>
      </c>
      <c r="F610" t="s">
        <v>326</v>
      </c>
      <c r="G610" t="s">
        <v>245</v>
      </c>
    </row>
    <row r="611" spans="1:7" hidden="1" x14ac:dyDescent="0.2">
      <c r="A611" t="s">
        <v>25</v>
      </c>
      <c r="B611" t="s">
        <v>119</v>
      </c>
      <c r="C611" s="4">
        <f>4.63438553364394E-10 * 6.29452432861457%</f>
        <v>2.9171252489701198E-11</v>
      </c>
      <c r="D611" t="s">
        <v>256</v>
      </c>
      <c r="E611" t="s">
        <v>324</v>
      </c>
      <c r="F611" t="s">
        <v>326</v>
      </c>
      <c r="G611" t="s">
        <v>245</v>
      </c>
    </row>
    <row r="612" spans="1:7" hidden="1" x14ac:dyDescent="0.2">
      <c r="A612" t="s">
        <v>25</v>
      </c>
      <c r="B612" t="s">
        <v>119</v>
      </c>
      <c r="C612" s="4">
        <f>1.80533525994585E-09 * 6.29452432861457%</f>
        <v>1.1363726715034862E-10</v>
      </c>
      <c r="D612" t="s">
        <v>256</v>
      </c>
      <c r="E612" t="s">
        <v>325</v>
      </c>
      <c r="F612" t="s">
        <v>326</v>
      </c>
      <c r="G612" t="s">
        <v>245</v>
      </c>
    </row>
    <row r="613" spans="1:7" hidden="1" x14ac:dyDescent="0.2">
      <c r="A613" t="s">
        <v>25</v>
      </c>
      <c r="B613" t="s">
        <v>119</v>
      </c>
      <c r="C613" s="4">
        <f>0.000343246436607167 * 6.29452432861457%</f>
        <v>2.1605730459340713E-5</v>
      </c>
      <c r="D613" t="s">
        <v>256</v>
      </c>
      <c r="E613" t="s">
        <v>281</v>
      </c>
      <c r="F613" t="s">
        <v>326</v>
      </c>
      <c r="G613" t="s">
        <v>245</v>
      </c>
    </row>
    <row r="614" spans="1:7" hidden="1" x14ac:dyDescent="0.2">
      <c r="A614" t="s">
        <v>25</v>
      </c>
      <c r="B614" t="s">
        <v>102</v>
      </c>
      <c r="C614" s="4">
        <f>0.212937718373242 * 1.81709680252091%</f>
        <v>3.8692844719211607E-3</v>
      </c>
      <c r="D614" t="s">
        <v>242</v>
      </c>
      <c r="E614" t="s">
        <v>329</v>
      </c>
      <c r="F614" t="s">
        <v>326</v>
      </c>
      <c r="G614" t="s">
        <v>245</v>
      </c>
    </row>
    <row r="615" spans="1:7" hidden="1" x14ac:dyDescent="0.2">
      <c r="A615" t="s">
        <v>25</v>
      </c>
      <c r="B615" t="s">
        <v>102</v>
      </c>
      <c r="C615" s="4">
        <f>0.755584923910716 * 1.81709680252091%</f>
        <v>1.3729709492711671E-2</v>
      </c>
      <c r="D615" t="s">
        <v>242</v>
      </c>
      <c r="E615" t="s">
        <v>328</v>
      </c>
      <c r="F615" t="s">
        <v>326</v>
      </c>
      <c r="G615" t="s">
        <v>245</v>
      </c>
    </row>
    <row r="616" spans="1:7" hidden="1" x14ac:dyDescent="0.2">
      <c r="A616" t="s">
        <v>25</v>
      </c>
      <c r="B616" t="s">
        <v>102</v>
      </c>
      <c r="C616" s="4">
        <f>0.00154025450133466 * 1.81709680252091%</f>
        <v>2.7987915294436497E-5</v>
      </c>
      <c r="D616" t="s">
        <v>242</v>
      </c>
      <c r="E616" t="s">
        <v>290</v>
      </c>
      <c r="F616" t="s">
        <v>326</v>
      </c>
      <c r="G616" t="s">
        <v>245</v>
      </c>
    </row>
    <row r="617" spans="1:7" hidden="1" x14ac:dyDescent="0.2">
      <c r="A617" t="s">
        <v>25</v>
      </c>
      <c r="B617" t="s">
        <v>102</v>
      </c>
      <c r="C617" s="4">
        <f>4.63438553364394E-10 * 1.81709680252091%</f>
        <v>8.4211271348335656E-12</v>
      </c>
      <c r="D617" t="s">
        <v>256</v>
      </c>
      <c r="E617" t="s">
        <v>324</v>
      </c>
      <c r="F617" t="s">
        <v>326</v>
      </c>
      <c r="G617" t="s">
        <v>245</v>
      </c>
    </row>
    <row r="618" spans="1:7" hidden="1" x14ac:dyDescent="0.2">
      <c r="A618" t="s">
        <v>25</v>
      </c>
      <c r="B618" t="s">
        <v>102</v>
      </c>
      <c r="C618" s="4">
        <f>1.80533525994585E-09 * 1.81709680252091%</f>
        <v>3.2804689283258603E-11</v>
      </c>
      <c r="D618" t="s">
        <v>256</v>
      </c>
      <c r="E618" t="s">
        <v>325</v>
      </c>
      <c r="F618" t="s">
        <v>326</v>
      </c>
      <c r="G618" t="s">
        <v>245</v>
      </c>
    </row>
    <row r="619" spans="1:7" hidden="1" x14ac:dyDescent="0.2">
      <c r="A619" t="s">
        <v>25</v>
      </c>
      <c r="B619" t="s">
        <v>102</v>
      </c>
      <c r="C619" s="4">
        <f>0.000343246436607167 * 1.81709680252091%</f>
        <v>6.2371200243557943E-6</v>
      </c>
      <c r="D619" t="s">
        <v>256</v>
      </c>
      <c r="E619" t="s">
        <v>281</v>
      </c>
      <c r="F619" t="s">
        <v>326</v>
      </c>
      <c r="G619" t="s">
        <v>245</v>
      </c>
    </row>
    <row r="620" spans="1:7" hidden="1" x14ac:dyDescent="0.2">
      <c r="A620" t="s">
        <v>25</v>
      </c>
      <c r="B620" t="s">
        <v>148</v>
      </c>
      <c r="C620" s="4">
        <f>0.212937718373242 * 2.67817418421139%</f>
        <v>5.7028430019209209E-3</v>
      </c>
      <c r="D620" t="s">
        <v>242</v>
      </c>
      <c r="E620" t="s">
        <v>329</v>
      </c>
      <c r="F620" t="s">
        <v>326</v>
      </c>
      <c r="G620" t="s">
        <v>245</v>
      </c>
    </row>
    <row r="621" spans="1:7" hidden="1" x14ac:dyDescent="0.2">
      <c r="A621" t="s">
        <v>25</v>
      </c>
      <c r="B621" t="s">
        <v>148</v>
      </c>
      <c r="C621" s="4">
        <f>0.755584923910716 * 2.67817418421139%</f>
        <v>2.0235880371970071E-2</v>
      </c>
      <c r="D621" t="s">
        <v>242</v>
      </c>
      <c r="E621" t="s">
        <v>328</v>
      </c>
      <c r="F621" t="s">
        <v>326</v>
      </c>
      <c r="G621" t="s">
        <v>245</v>
      </c>
    </row>
    <row r="622" spans="1:7" hidden="1" x14ac:dyDescent="0.2">
      <c r="A622" t="s">
        <v>25</v>
      </c>
      <c r="B622" t="s">
        <v>148</v>
      </c>
      <c r="C622" s="4">
        <f>0.00154025450133466 * 2.67817418421139%</f>
        <v>4.1250698425898746E-5</v>
      </c>
      <c r="D622" t="s">
        <v>242</v>
      </c>
      <c r="E622" t="s">
        <v>290</v>
      </c>
      <c r="F622" t="s">
        <v>326</v>
      </c>
      <c r="G622" t="s">
        <v>245</v>
      </c>
    </row>
    <row r="623" spans="1:7" hidden="1" x14ac:dyDescent="0.2">
      <c r="A623" t="s">
        <v>25</v>
      </c>
      <c r="B623" t="s">
        <v>148</v>
      </c>
      <c r="C623" s="4">
        <f>4.63438553364394E-10 * 2.67817418421139%</f>
        <v>1.2411691695887927E-11</v>
      </c>
      <c r="D623" t="s">
        <v>256</v>
      </c>
      <c r="E623" t="s">
        <v>324</v>
      </c>
      <c r="F623" t="s">
        <v>326</v>
      </c>
      <c r="G623" t="s">
        <v>245</v>
      </c>
    </row>
    <row r="624" spans="1:7" hidden="1" x14ac:dyDescent="0.2">
      <c r="A624" t="s">
        <v>25</v>
      </c>
      <c r="B624" t="s">
        <v>148</v>
      </c>
      <c r="C624" s="4">
        <f>1.80533525994585E-09 * 2.67817418421139%</f>
        <v>4.8350022870335342E-11</v>
      </c>
      <c r="D624" t="s">
        <v>256</v>
      </c>
      <c r="E624" t="s">
        <v>325</v>
      </c>
      <c r="F624" t="s">
        <v>326</v>
      </c>
      <c r="G624" t="s">
        <v>245</v>
      </c>
    </row>
    <row r="625" spans="1:7" hidden="1" x14ac:dyDescent="0.2">
      <c r="A625" t="s">
        <v>25</v>
      </c>
      <c r="B625" t="s">
        <v>148</v>
      </c>
      <c r="C625" s="4">
        <f>0.000343246436607167 * 2.67817418421139%</f>
        <v>9.1927374534386601E-6</v>
      </c>
      <c r="D625" t="s">
        <v>256</v>
      </c>
      <c r="E625" t="s">
        <v>281</v>
      </c>
      <c r="F625" t="s">
        <v>326</v>
      </c>
      <c r="G625" t="s">
        <v>245</v>
      </c>
    </row>
    <row r="626" spans="1:7" hidden="1" x14ac:dyDescent="0.2">
      <c r="A626" t="s">
        <v>25</v>
      </c>
      <c r="B626" t="s">
        <v>171</v>
      </c>
      <c r="C626" s="4">
        <f>0.212937718373242 * 0.206315218674948%</f>
        <v>4.3932291930319912E-4</v>
      </c>
      <c r="D626" t="s">
        <v>242</v>
      </c>
      <c r="E626" t="s">
        <v>329</v>
      </c>
      <c r="F626" t="s">
        <v>326</v>
      </c>
      <c r="G626" t="s">
        <v>245</v>
      </c>
    </row>
    <row r="627" spans="1:7" hidden="1" x14ac:dyDescent="0.2">
      <c r="A627" t="s">
        <v>25</v>
      </c>
      <c r="B627" t="s">
        <v>171</v>
      </c>
      <c r="C627" s="4">
        <f>0.755584923910716 * 0.206315218674948%</f>
        <v>1.5588866880413331E-3</v>
      </c>
      <c r="D627" t="s">
        <v>242</v>
      </c>
      <c r="E627" t="s">
        <v>328</v>
      </c>
      <c r="F627" t="s">
        <v>326</v>
      </c>
      <c r="G627" t="s">
        <v>245</v>
      </c>
    </row>
    <row r="628" spans="1:7" hidden="1" x14ac:dyDescent="0.2">
      <c r="A628" t="s">
        <v>25</v>
      </c>
      <c r="B628" t="s">
        <v>171</v>
      </c>
      <c r="C628" s="4">
        <f>0.00154025450133466 * 0.206315218674948%</f>
        <v>3.1777794425793337E-6</v>
      </c>
      <c r="D628" t="s">
        <v>242</v>
      </c>
      <c r="E628" t="s">
        <v>290</v>
      </c>
      <c r="F628" t="s">
        <v>326</v>
      </c>
      <c r="G628" t="s">
        <v>245</v>
      </c>
    </row>
    <row r="629" spans="1:7" hidden="1" x14ac:dyDescent="0.2">
      <c r="A629" t="s">
        <v>25</v>
      </c>
      <c r="B629" t="s">
        <v>171</v>
      </c>
      <c r="C629" s="4">
        <f>4.63438553364394E-10 * 0.206315218674948%</f>
        <v>9.56144264797765E-13</v>
      </c>
      <c r="D629" t="s">
        <v>256</v>
      </c>
      <c r="E629" t="s">
        <v>324</v>
      </c>
      <c r="F629" t="s">
        <v>326</v>
      </c>
      <c r="G629" t="s">
        <v>245</v>
      </c>
    </row>
    <row r="630" spans="1:7" hidden="1" x14ac:dyDescent="0.2">
      <c r="A630" t="s">
        <v>25</v>
      </c>
      <c r="B630" t="s">
        <v>171</v>
      </c>
      <c r="C630" s="4">
        <f>1.80533525994585E-09 * 0.206315218674948%</f>
        <v>3.724681389373221E-12</v>
      </c>
      <c r="D630" t="s">
        <v>256</v>
      </c>
      <c r="E630" t="s">
        <v>325</v>
      </c>
      <c r="F630" t="s">
        <v>326</v>
      </c>
      <c r="G630" t="s">
        <v>245</v>
      </c>
    </row>
    <row r="631" spans="1:7" hidden="1" x14ac:dyDescent="0.2">
      <c r="A631" t="s">
        <v>25</v>
      </c>
      <c r="B631" t="s">
        <v>171</v>
      </c>
      <c r="C631" s="4">
        <f>0.000343246436607167 * 0.206315218674948%</f>
        <v>7.081696362800433E-7</v>
      </c>
      <c r="D631" t="s">
        <v>256</v>
      </c>
      <c r="E631" t="s">
        <v>281</v>
      </c>
      <c r="F631" t="s">
        <v>326</v>
      </c>
      <c r="G631" t="s">
        <v>245</v>
      </c>
    </row>
    <row r="632" spans="1:7" hidden="1" x14ac:dyDescent="0.2">
      <c r="A632" t="s">
        <v>25</v>
      </c>
      <c r="B632" t="s">
        <v>150</v>
      </c>
      <c r="C632" s="4">
        <f>0.212937718373242 * 1.95900546114384%</f>
        <v>4.1714615317669009E-3</v>
      </c>
      <c r="D632" t="s">
        <v>242</v>
      </c>
      <c r="E632" t="s">
        <v>329</v>
      </c>
      <c r="F632" t="s">
        <v>326</v>
      </c>
      <c r="G632" t="s">
        <v>245</v>
      </c>
    </row>
    <row r="633" spans="1:7" hidden="1" x14ac:dyDescent="0.2">
      <c r="A633" t="s">
        <v>25</v>
      </c>
      <c r="B633" t="s">
        <v>150</v>
      </c>
      <c r="C633" s="4">
        <f>0.755584923910716 * 1.95900546114384%</f>
        <v>1.4801949922990457E-2</v>
      </c>
      <c r="D633" t="s">
        <v>242</v>
      </c>
      <c r="E633" t="s">
        <v>328</v>
      </c>
      <c r="F633" t="s">
        <v>326</v>
      </c>
      <c r="G633" t="s">
        <v>245</v>
      </c>
    </row>
    <row r="634" spans="1:7" hidden="1" x14ac:dyDescent="0.2">
      <c r="A634" t="s">
        <v>25</v>
      </c>
      <c r="B634" t="s">
        <v>150</v>
      </c>
      <c r="C634" s="4">
        <f>0.00154025450133466 * 1.95900546114384%</f>
        <v>3.0173669796659814E-5</v>
      </c>
      <c r="D634" t="s">
        <v>242</v>
      </c>
      <c r="E634" t="s">
        <v>290</v>
      </c>
      <c r="F634" t="s">
        <v>326</v>
      </c>
      <c r="G634" t="s">
        <v>245</v>
      </c>
    </row>
    <row r="635" spans="1:7" hidden="1" x14ac:dyDescent="0.2">
      <c r="A635" t="s">
        <v>25</v>
      </c>
      <c r="B635" t="s">
        <v>150</v>
      </c>
      <c r="C635" s="4">
        <f>4.63438553364394E-10 * 1.95900546114384%</f>
        <v>9.0787865694544883E-12</v>
      </c>
      <c r="D635" t="s">
        <v>256</v>
      </c>
      <c r="E635" t="s">
        <v>324</v>
      </c>
      <c r="F635" t="s">
        <v>326</v>
      </c>
      <c r="G635" t="s">
        <v>245</v>
      </c>
    </row>
    <row r="636" spans="1:7" hidden="1" x14ac:dyDescent="0.2">
      <c r="A636" t="s">
        <v>25</v>
      </c>
      <c r="B636" t="s">
        <v>150</v>
      </c>
      <c r="C636" s="4">
        <f>1.80533525994585E-09 * 1.95900546114384%</f>
        <v>3.5366616334294544E-11</v>
      </c>
      <c r="D636" t="s">
        <v>256</v>
      </c>
      <c r="E636" t="s">
        <v>325</v>
      </c>
      <c r="F636" t="s">
        <v>326</v>
      </c>
      <c r="G636" t="s">
        <v>245</v>
      </c>
    </row>
    <row r="637" spans="1:7" hidden="1" x14ac:dyDescent="0.2">
      <c r="A637" t="s">
        <v>25</v>
      </c>
      <c r="B637" t="s">
        <v>150</v>
      </c>
      <c r="C637" s="4">
        <f>0.000343246436607167 * 1.95900546114384%</f>
        <v>6.724216438316031E-6</v>
      </c>
      <c r="D637" t="s">
        <v>256</v>
      </c>
      <c r="E637" t="s">
        <v>281</v>
      </c>
      <c r="F637" t="s">
        <v>326</v>
      </c>
      <c r="G637" t="s">
        <v>245</v>
      </c>
    </row>
    <row r="638" spans="1:7" hidden="1" x14ac:dyDescent="0.2">
      <c r="A638" t="s">
        <v>25</v>
      </c>
      <c r="B638" t="s">
        <v>173</v>
      </c>
      <c r="C638" s="4">
        <f>0.212937718373242 * 0.0490449118739643%</f>
        <v>1.0443511632258683E-4</v>
      </c>
      <c r="D638" t="s">
        <v>242</v>
      </c>
      <c r="E638" t="s">
        <v>329</v>
      </c>
      <c r="F638" t="s">
        <v>326</v>
      </c>
      <c r="G638" t="s">
        <v>245</v>
      </c>
    </row>
    <row r="639" spans="1:7" hidden="1" x14ac:dyDescent="0.2">
      <c r="A639" t="s">
        <v>25</v>
      </c>
      <c r="B639" t="s">
        <v>173</v>
      </c>
      <c r="C639" s="4">
        <f>0.755584923910716 * 0.0490449118739643%</f>
        <v>3.7057596006497088E-4</v>
      </c>
      <c r="D639" t="s">
        <v>242</v>
      </c>
      <c r="E639" t="s">
        <v>328</v>
      </c>
      <c r="F639" t="s">
        <v>326</v>
      </c>
      <c r="G639" t="s">
        <v>245</v>
      </c>
    </row>
    <row r="640" spans="1:7" hidden="1" x14ac:dyDescent="0.2">
      <c r="A640" t="s">
        <v>25</v>
      </c>
      <c r="B640" t="s">
        <v>173</v>
      </c>
      <c r="C640" s="4">
        <f>0.00154025450133466 * 0.0490449118739643%</f>
        <v>7.554164628143523E-7</v>
      </c>
      <c r="D640" t="s">
        <v>242</v>
      </c>
      <c r="E640" t="s">
        <v>290</v>
      </c>
      <c r="F640" t="s">
        <v>326</v>
      </c>
      <c r="G640" t="s">
        <v>245</v>
      </c>
    </row>
    <row r="641" spans="1:7" hidden="1" x14ac:dyDescent="0.2">
      <c r="A641" t="s">
        <v>25</v>
      </c>
      <c r="B641" t="s">
        <v>173</v>
      </c>
      <c r="C641" s="4">
        <f>4.63438553364394E-10 * 0.0490449118739643%</f>
        <v>2.2729303008754206E-13</v>
      </c>
      <c r="D641" t="s">
        <v>256</v>
      </c>
      <c r="E641" t="s">
        <v>324</v>
      </c>
      <c r="F641" t="s">
        <v>326</v>
      </c>
      <c r="G641" t="s">
        <v>245</v>
      </c>
    </row>
    <row r="642" spans="1:7" hidden="1" x14ac:dyDescent="0.2">
      <c r="A642" t="s">
        <v>25</v>
      </c>
      <c r="B642" t="s">
        <v>173</v>
      </c>
      <c r="C642" s="4">
        <f>1.80533525994585E-09 * 0.0490449118739643%</f>
        <v>8.854250872700464E-13</v>
      </c>
      <c r="D642" t="s">
        <v>256</v>
      </c>
      <c r="E642" t="s">
        <v>325</v>
      </c>
      <c r="F642" t="s">
        <v>326</v>
      </c>
      <c r="G642" t="s">
        <v>245</v>
      </c>
    </row>
    <row r="643" spans="1:7" hidden="1" x14ac:dyDescent="0.2">
      <c r="A643" t="s">
        <v>25</v>
      </c>
      <c r="B643" t="s">
        <v>173</v>
      </c>
      <c r="C643" s="4">
        <f>0.000343246436607167 * 0.0490449118739643%</f>
        <v>1.683449123445078E-7</v>
      </c>
      <c r="D643" t="s">
        <v>256</v>
      </c>
      <c r="E643" t="s">
        <v>281</v>
      </c>
      <c r="F643" t="s">
        <v>326</v>
      </c>
      <c r="G643" t="s">
        <v>245</v>
      </c>
    </row>
    <row r="644" spans="1:7" hidden="1" x14ac:dyDescent="0.2">
      <c r="A644" t="s">
        <v>25</v>
      </c>
      <c r="B644" t="s">
        <v>174</v>
      </c>
      <c r="C644" s="4">
        <f>0.212937718373242 * 0.626686351994116%</f>
        <v>1.3344516192927748E-3</v>
      </c>
      <c r="D644" t="s">
        <v>242</v>
      </c>
      <c r="E644" t="s">
        <v>329</v>
      </c>
      <c r="F644" t="s">
        <v>326</v>
      </c>
      <c r="G644" t="s">
        <v>245</v>
      </c>
    </row>
    <row r="645" spans="1:7" hidden="1" x14ac:dyDescent="0.2">
      <c r="A645" t="s">
        <v>25</v>
      </c>
      <c r="B645" t="s">
        <v>174</v>
      </c>
      <c r="C645" s="4">
        <f>0.755584923910716 * 0.626686351994116%</f>
        <v>4.7351475958735834E-3</v>
      </c>
      <c r="D645" t="s">
        <v>242</v>
      </c>
      <c r="E645" t="s">
        <v>328</v>
      </c>
      <c r="F645" t="s">
        <v>326</v>
      </c>
      <c r="G645" t="s">
        <v>245</v>
      </c>
    </row>
    <row r="646" spans="1:7" hidden="1" x14ac:dyDescent="0.2">
      <c r="A646" t="s">
        <v>25</v>
      </c>
      <c r="B646" t="s">
        <v>174</v>
      </c>
      <c r="C646" s="4">
        <f>0.00154025450133466 * 0.626686351994116%</f>
        <v>9.6525647458393436E-6</v>
      </c>
      <c r="D646" t="s">
        <v>242</v>
      </c>
      <c r="E646" t="s">
        <v>290</v>
      </c>
      <c r="F646" t="s">
        <v>326</v>
      </c>
      <c r="G646" t="s">
        <v>245</v>
      </c>
    </row>
    <row r="647" spans="1:7" hidden="1" x14ac:dyDescent="0.2">
      <c r="A647" t="s">
        <v>25</v>
      </c>
      <c r="B647" t="s">
        <v>174</v>
      </c>
      <c r="C647" s="4">
        <f>4.63438553364394E-10 * 0.626686351994116%</f>
        <v>2.9043061638136254E-12</v>
      </c>
      <c r="D647" t="s">
        <v>256</v>
      </c>
      <c r="E647" t="s">
        <v>324</v>
      </c>
      <c r="F647" t="s">
        <v>326</v>
      </c>
      <c r="G647" t="s">
        <v>245</v>
      </c>
    </row>
    <row r="648" spans="1:7" hidden="1" x14ac:dyDescent="0.2">
      <c r="A648" t="s">
        <v>25</v>
      </c>
      <c r="B648" t="s">
        <v>174</v>
      </c>
      <c r="C648" s="4">
        <f>1.80533525994585E-09 * 0.626686351994116%</f>
        <v>1.131378968181814E-11</v>
      </c>
      <c r="D648" t="s">
        <v>256</v>
      </c>
      <c r="E648" t="s">
        <v>325</v>
      </c>
      <c r="F648" t="s">
        <v>326</v>
      </c>
      <c r="G648" t="s">
        <v>245</v>
      </c>
    </row>
    <row r="649" spans="1:7" hidden="1" x14ac:dyDescent="0.2">
      <c r="A649" t="s">
        <v>25</v>
      </c>
      <c r="B649" t="s">
        <v>174</v>
      </c>
      <c r="C649" s="4">
        <f>0.000343246436607167 * 0.626686351994116%</f>
        <v>2.151078571923251E-6</v>
      </c>
      <c r="D649" t="s">
        <v>256</v>
      </c>
      <c r="E649" t="s">
        <v>281</v>
      </c>
      <c r="F649" t="s">
        <v>326</v>
      </c>
      <c r="G649" t="s">
        <v>245</v>
      </c>
    </row>
    <row r="650" spans="1:7" hidden="1" x14ac:dyDescent="0.2">
      <c r="A650" t="s">
        <v>25</v>
      </c>
      <c r="B650" t="s">
        <v>175</v>
      </c>
      <c r="C650" s="4">
        <f>0.212937718373242 * 0.048985860156462%</f>
        <v>1.0430937294267721E-4</v>
      </c>
      <c r="D650" t="s">
        <v>242</v>
      </c>
      <c r="E650" t="s">
        <v>329</v>
      </c>
      <c r="F650" t="s">
        <v>326</v>
      </c>
      <c r="G650" t="s">
        <v>245</v>
      </c>
    </row>
    <row r="651" spans="1:7" hidden="1" x14ac:dyDescent="0.2">
      <c r="A651" t="s">
        <v>25</v>
      </c>
      <c r="B651" t="s">
        <v>175</v>
      </c>
      <c r="C651" s="4">
        <f>0.755584923910716 * 0.048985860156462%</f>
        <v>3.701297741902131E-4</v>
      </c>
      <c r="D651" t="s">
        <v>242</v>
      </c>
      <c r="E651" t="s">
        <v>328</v>
      </c>
      <c r="F651" t="s">
        <v>326</v>
      </c>
      <c r="G651" t="s">
        <v>245</v>
      </c>
    </row>
    <row r="652" spans="1:7" hidden="1" x14ac:dyDescent="0.2">
      <c r="A652" t="s">
        <v>25</v>
      </c>
      <c r="B652" t="s">
        <v>175</v>
      </c>
      <c r="C652" s="4">
        <f>0.00154025450133466 * 0.048985860156462%</f>
        <v>7.5450691607740762E-7</v>
      </c>
      <c r="D652" t="s">
        <v>242</v>
      </c>
      <c r="E652" t="s">
        <v>290</v>
      </c>
      <c r="F652" t="s">
        <v>326</v>
      </c>
      <c r="G652" t="s">
        <v>245</v>
      </c>
    </row>
    <row r="653" spans="1:7" hidden="1" x14ac:dyDescent="0.2">
      <c r="A653" t="s">
        <v>25</v>
      </c>
      <c r="B653" t="s">
        <v>175</v>
      </c>
      <c r="C653" s="4">
        <f>4.63438553364394E-10 * 0.048985860156462%</f>
        <v>2.2701936166221254E-13</v>
      </c>
      <c r="D653" t="s">
        <v>256</v>
      </c>
      <c r="E653" t="s">
        <v>324</v>
      </c>
      <c r="F653" t="s">
        <v>326</v>
      </c>
      <c r="G653" t="s">
        <v>245</v>
      </c>
    </row>
    <row r="654" spans="1:7" hidden="1" x14ac:dyDescent="0.2">
      <c r="A654" t="s">
        <v>25</v>
      </c>
      <c r="B654" t="s">
        <v>175</v>
      </c>
      <c r="C654" s="4">
        <f>1.80533525994585E-09 * 0.048985860156462%</f>
        <v>8.8435900579237375E-13</v>
      </c>
      <c r="D654" t="s">
        <v>256</v>
      </c>
      <c r="E654" t="s">
        <v>325</v>
      </c>
      <c r="F654" t="s">
        <v>326</v>
      </c>
      <c r="G654" t="s">
        <v>245</v>
      </c>
    </row>
    <row r="655" spans="1:7" hidden="1" x14ac:dyDescent="0.2">
      <c r="A655" t="s">
        <v>25</v>
      </c>
      <c r="B655" t="s">
        <v>175</v>
      </c>
      <c r="C655" s="4">
        <f>0.000343246436607167 * 0.048985860156462%</f>
        <v>1.681422194284258E-7</v>
      </c>
      <c r="D655" t="s">
        <v>256</v>
      </c>
      <c r="E655" t="s">
        <v>281</v>
      </c>
      <c r="F655" t="s">
        <v>326</v>
      </c>
      <c r="G655" t="s">
        <v>245</v>
      </c>
    </row>
    <row r="656" spans="1:7" hidden="1" x14ac:dyDescent="0.2">
      <c r="A656" t="s">
        <v>25</v>
      </c>
      <c r="B656" t="s">
        <v>176</v>
      </c>
      <c r="C656" s="4">
        <f>0.212937718373242 * 0.00317156932752421%</f>
        <v>6.7534673626556278E-6</v>
      </c>
      <c r="D656" t="s">
        <v>242</v>
      </c>
      <c r="E656" t="s">
        <v>329</v>
      </c>
      <c r="F656" t="s">
        <v>326</v>
      </c>
      <c r="G656" t="s">
        <v>245</v>
      </c>
    </row>
    <row r="657" spans="1:7" hidden="1" x14ac:dyDescent="0.2">
      <c r="A657" t="s">
        <v>25</v>
      </c>
      <c r="B657" t="s">
        <v>176</v>
      </c>
      <c r="C657" s="4">
        <f>0.755584923910716 * 0.00317156932752421%</f>
        <v>2.3963899690149411E-5</v>
      </c>
      <c r="D657" t="s">
        <v>242</v>
      </c>
      <c r="E657" t="s">
        <v>328</v>
      </c>
      <c r="F657" t="s">
        <v>326</v>
      </c>
      <c r="G657" t="s">
        <v>245</v>
      </c>
    </row>
    <row r="658" spans="1:7" hidden="1" x14ac:dyDescent="0.2">
      <c r="A658" t="s">
        <v>25</v>
      </c>
      <c r="B658" t="s">
        <v>176</v>
      </c>
      <c r="C658" s="4">
        <f>0.00154025450133466 * 0.00317156932752421%</f>
        <v>4.8850239330141055E-8</v>
      </c>
      <c r="D658" t="s">
        <v>242</v>
      </c>
      <c r="E658" t="s">
        <v>290</v>
      </c>
      <c r="F658" t="s">
        <v>326</v>
      </c>
      <c r="G658" t="s">
        <v>245</v>
      </c>
    </row>
    <row r="659" spans="1:7" hidden="1" x14ac:dyDescent="0.2">
      <c r="A659" t="s">
        <v>25</v>
      </c>
      <c r="B659" t="s">
        <v>176</v>
      </c>
      <c r="C659" s="4">
        <f>4.63438553364394E-10 * 0.00317156932752421%</f>
        <v>1.4698275010427038E-14</v>
      </c>
      <c r="D659" t="s">
        <v>256</v>
      </c>
      <c r="E659" t="s">
        <v>324</v>
      </c>
      <c r="F659" t="s">
        <v>326</v>
      </c>
      <c r="G659" t="s">
        <v>245</v>
      </c>
    </row>
    <row r="660" spans="1:7" hidden="1" x14ac:dyDescent="0.2">
      <c r="A660" t="s">
        <v>25</v>
      </c>
      <c r="B660" t="s">
        <v>176</v>
      </c>
      <c r="C660" s="4">
        <f>1.80533525994585E-09 * 0.00317156932752421%</f>
        <v>5.7257459363422044E-14</v>
      </c>
      <c r="D660" t="s">
        <v>256</v>
      </c>
      <c r="E660" t="s">
        <v>325</v>
      </c>
      <c r="F660" t="s">
        <v>326</v>
      </c>
      <c r="G660" t="s">
        <v>245</v>
      </c>
    </row>
    <row r="661" spans="1:7" hidden="1" x14ac:dyDescent="0.2">
      <c r="A661" t="s">
        <v>25</v>
      </c>
      <c r="B661" t="s">
        <v>176</v>
      </c>
      <c r="C661" s="4">
        <f>0.000343246436607167 * 0.00317156932752421%</f>
        <v>1.088629870125274E-8</v>
      </c>
      <c r="D661" t="s">
        <v>256</v>
      </c>
      <c r="E661" t="s">
        <v>281</v>
      </c>
      <c r="F661" t="s">
        <v>326</v>
      </c>
      <c r="G661" t="s">
        <v>245</v>
      </c>
    </row>
    <row r="662" spans="1:7" hidden="1" x14ac:dyDescent="0.2">
      <c r="A662" t="s">
        <v>25</v>
      </c>
      <c r="B662" t="s">
        <v>132</v>
      </c>
      <c r="C662" s="4">
        <f>0.212937718373242 * 0.0868609756323006%</f>
        <v>1.849597796681586E-4</v>
      </c>
      <c r="D662" t="s">
        <v>242</v>
      </c>
      <c r="E662" t="s">
        <v>329</v>
      </c>
      <c r="F662" t="s">
        <v>326</v>
      </c>
      <c r="G662" t="s">
        <v>245</v>
      </c>
    </row>
    <row r="663" spans="1:7" hidden="1" x14ac:dyDescent="0.2">
      <c r="A663" t="s">
        <v>25</v>
      </c>
      <c r="B663" t="s">
        <v>132</v>
      </c>
      <c r="C663" s="4">
        <f>0.755584923910716 * 0.0868609756323006%</f>
        <v>6.5630843663942403E-4</v>
      </c>
      <c r="D663" t="s">
        <v>242</v>
      </c>
      <c r="E663" t="s">
        <v>328</v>
      </c>
      <c r="F663" t="s">
        <v>326</v>
      </c>
      <c r="G663" t="s">
        <v>245</v>
      </c>
    </row>
    <row r="664" spans="1:7" hidden="1" x14ac:dyDescent="0.2">
      <c r="A664" t="s">
        <v>25</v>
      </c>
      <c r="B664" t="s">
        <v>132</v>
      </c>
      <c r="C664" s="4">
        <f>0.00154025450133466 * 0.0868609756323006%</f>
        <v>1.3378800870797122E-6</v>
      </c>
      <c r="D664" t="s">
        <v>242</v>
      </c>
      <c r="E664" t="s">
        <v>290</v>
      </c>
      <c r="F664" t="s">
        <v>326</v>
      </c>
      <c r="G664" t="s">
        <v>245</v>
      </c>
    </row>
    <row r="665" spans="1:7" hidden="1" x14ac:dyDescent="0.2">
      <c r="A665" t="s">
        <v>25</v>
      </c>
      <c r="B665" t="s">
        <v>132</v>
      </c>
      <c r="C665" s="4">
        <f>4.63438553364394E-10 * 0.0868609756323006%</f>
        <v>4.0254724890853267E-13</v>
      </c>
      <c r="D665" t="s">
        <v>256</v>
      </c>
      <c r="E665" t="s">
        <v>324</v>
      </c>
      <c r="F665" t="s">
        <v>326</v>
      </c>
      <c r="G665" t="s">
        <v>245</v>
      </c>
    </row>
    <row r="666" spans="1:7" hidden="1" x14ac:dyDescent="0.2">
      <c r="A666" t="s">
        <v>25</v>
      </c>
      <c r="B666" t="s">
        <v>132</v>
      </c>
      <c r="C666" s="4">
        <f>1.80533525994585E-09 * 0.0868609756323006%</f>
        <v>1.5681318202228954E-12</v>
      </c>
      <c r="D666" t="s">
        <v>256</v>
      </c>
      <c r="E666" t="s">
        <v>325</v>
      </c>
      <c r="F666" t="s">
        <v>326</v>
      </c>
      <c r="G666" t="s">
        <v>245</v>
      </c>
    </row>
    <row r="667" spans="1:7" hidden="1" x14ac:dyDescent="0.2">
      <c r="A667" t="s">
        <v>25</v>
      </c>
      <c r="B667" t="s">
        <v>132</v>
      </c>
      <c r="C667" s="4">
        <f>0.000343246436607167 * 0.0868609756323006%</f>
        <v>2.9814720366009142E-7</v>
      </c>
      <c r="D667" t="s">
        <v>256</v>
      </c>
      <c r="E667" t="s">
        <v>281</v>
      </c>
      <c r="F667" t="s">
        <v>326</v>
      </c>
      <c r="G667" t="s">
        <v>245</v>
      </c>
    </row>
    <row r="668" spans="1:7" hidden="1" x14ac:dyDescent="0.2">
      <c r="A668" t="s">
        <v>25</v>
      </c>
      <c r="B668" t="s">
        <v>133</v>
      </c>
      <c r="C668" s="4">
        <f>0.212937718373242 * 0.000216522964175431%</f>
        <v>4.6105905966927499E-7</v>
      </c>
      <c r="D668" t="s">
        <v>242</v>
      </c>
      <c r="E668" t="s">
        <v>329</v>
      </c>
      <c r="F668" t="s">
        <v>326</v>
      </c>
      <c r="G668" t="s">
        <v>245</v>
      </c>
    </row>
    <row r="669" spans="1:7" hidden="1" x14ac:dyDescent="0.2">
      <c r="A669" t="s">
        <v>25</v>
      </c>
      <c r="B669" t="s">
        <v>133</v>
      </c>
      <c r="C669" s="4">
        <f>0.755584923910716 * 0.000216522964175431%</f>
        <v>1.6360148741141572E-6</v>
      </c>
      <c r="D669" t="s">
        <v>242</v>
      </c>
      <c r="E669" t="s">
        <v>328</v>
      </c>
      <c r="F669" t="s">
        <v>326</v>
      </c>
      <c r="G669" t="s">
        <v>245</v>
      </c>
    </row>
    <row r="670" spans="1:7" hidden="1" x14ac:dyDescent="0.2">
      <c r="A670" t="s">
        <v>25</v>
      </c>
      <c r="B670" t="s">
        <v>133</v>
      </c>
      <c r="C670" s="4">
        <f>0.00154025450133466 * 0.000216522964175431%</f>
        <v>3.3350047021353097E-9</v>
      </c>
      <c r="D670" t="s">
        <v>242</v>
      </c>
      <c r="E670" t="s">
        <v>290</v>
      </c>
      <c r="F670" t="s">
        <v>326</v>
      </c>
      <c r="G670" t="s">
        <v>245</v>
      </c>
    </row>
    <row r="671" spans="1:7" hidden="1" x14ac:dyDescent="0.2">
      <c r="A671" t="s">
        <v>25</v>
      </c>
      <c r="B671" t="s">
        <v>133</v>
      </c>
      <c r="C671" s="4">
        <f>4.63438553364394E-10 * 0.000216522964175431%</f>
        <v>1.0034508928763225E-15</v>
      </c>
      <c r="D671" t="s">
        <v>256</v>
      </c>
      <c r="E671" t="s">
        <v>324</v>
      </c>
      <c r="F671" t="s">
        <v>326</v>
      </c>
      <c r="G671" t="s">
        <v>245</v>
      </c>
    </row>
    <row r="672" spans="1:7" hidden="1" x14ac:dyDescent="0.2">
      <c r="A672" t="s">
        <v>25</v>
      </c>
      <c r="B672" t="s">
        <v>133</v>
      </c>
      <c r="C672" s="4">
        <f>1.80533525994585E-09 * 0.000216522964175431%</f>
        <v>3.9089654181389771E-15</v>
      </c>
      <c r="D672" t="s">
        <v>256</v>
      </c>
      <c r="E672" t="s">
        <v>325</v>
      </c>
      <c r="F672" t="s">
        <v>326</v>
      </c>
      <c r="G672" t="s">
        <v>245</v>
      </c>
    </row>
    <row r="673" spans="1:7" hidden="1" x14ac:dyDescent="0.2">
      <c r="A673" t="s">
        <v>25</v>
      </c>
      <c r="B673" t="s">
        <v>133</v>
      </c>
      <c r="C673" s="4">
        <f>0.000343246436607167 * 0.000216522964175431%</f>
        <v>7.4320735896837972E-10</v>
      </c>
      <c r="D673" t="s">
        <v>256</v>
      </c>
      <c r="E673" t="s">
        <v>281</v>
      </c>
      <c r="F673" t="s">
        <v>326</v>
      </c>
      <c r="G673" t="s">
        <v>245</v>
      </c>
    </row>
    <row r="674" spans="1:7" hidden="1" x14ac:dyDescent="0.2">
      <c r="A674" t="s">
        <v>25</v>
      </c>
      <c r="B674" t="s">
        <v>146</v>
      </c>
      <c r="C674" s="4">
        <f>0.212937718373242 * 1.33487145560622%</f>
        <v>2.8424448207835691E-3</v>
      </c>
      <c r="D674" t="s">
        <v>242</v>
      </c>
      <c r="E674" t="s">
        <v>329</v>
      </c>
      <c r="F674" t="s">
        <v>326</v>
      </c>
      <c r="G674" t="s">
        <v>245</v>
      </c>
    </row>
    <row r="675" spans="1:7" hidden="1" x14ac:dyDescent="0.2">
      <c r="A675" t="s">
        <v>25</v>
      </c>
      <c r="B675" t="s">
        <v>146</v>
      </c>
      <c r="C675" s="4">
        <f>0.755584923910716 * 1.33487145560622%</f>
        <v>1.0086087472148125E-2</v>
      </c>
      <c r="D675" t="s">
        <v>242</v>
      </c>
      <c r="E675" t="s">
        <v>328</v>
      </c>
      <c r="F675" t="s">
        <v>326</v>
      </c>
      <c r="G675" t="s">
        <v>245</v>
      </c>
    </row>
    <row r="676" spans="1:7" hidden="1" x14ac:dyDescent="0.2">
      <c r="A676" t="s">
        <v>25</v>
      </c>
      <c r="B676" t="s">
        <v>146</v>
      </c>
      <c r="C676" s="4">
        <f>0.00154025450133466 * 1.33487145560622%</f>
        <v>2.0560417682006301E-5</v>
      </c>
      <c r="D676" t="s">
        <v>242</v>
      </c>
      <c r="E676" t="s">
        <v>290</v>
      </c>
      <c r="F676" t="s">
        <v>326</v>
      </c>
      <c r="G676" t="s">
        <v>245</v>
      </c>
    </row>
    <row r="677" spans="1:7" hidden="1" x14ac:dyDescent="0.2">
      <c r="A677" t="s">
        <v>25</v>
      </c>
      <c r="B677" t="s">
        <v>146</v>
      </c>
      <c r="C677" s="4">
        <f>4.63438553364394E-10 * 1.33487145560622%</f>
        <v>6.1863089631356947E-12</v>
      </c>
      <c r="D677" t="s">
        <v>256</v>
      </c>
      <c r="E677" t="s">
        <v>324</v>
      </c>
      <c r="F677" t="s">
        <v>326</v>
      </c>
      <c r="G677" t="s">
        <v>245</v>
      </c>
    </row>
    <row r="678" spans="1:7" hidden="1" x14ac:dyDescent="0.2">
      <c r="A678" t="s">
        <v>25</v>
      </c>
      <c r="B678" t="s">
        <v>146</v>
      </c>
      <c r="C678" s="4">
        <f>1.80533525994585E-09 * 1.33487145560622%</f>
        <v>2.4098905063011505E-11</v>
      </c>
      <c r="D678" t="s">
        <v>256</v>
      </c>
      <c r="E678" t="s">
        <v>325</v>
      </c>
      <c r="F678" t="s">
        <v>326</v>
      </c>
      <c r="G678" t="s">
        <v>245</v>
      </c>
    </row>
    <row r="679" spans="1:7" hidden="1" x14ac:dyDescent="0.2">
      <c r="A679" t="s">
        <v>25</v>
      </c>
      <c r="B679" t="s">
        <v>146</v>
      </c>
      <c r="C679" s="4">
        <f>0.000343246436607167 * 1.33487145560622%</f>
        <v>4.5818987046545715E-6</v>
      </c>
      <c r="D679" t="s">
        <v>256</v>
      </c>
      <c r="E679" t="s">
        <v>281</v>
      </c>
      <c r="F679" t="s">
        <v>326</v>
      </c>
      <c r="G679" t="s">
        <v>245</v>
      </c>
    </row>
    <row r="680" spans="1:7" hidden="1" x14ac:dyDescent="0.2">
      <c r="A680" t="s">
        <v>25</v>
      </c>
      <c r="B680" t="s">
        <v>156</v>
      </c>
      <c r="C680" s="4">
        <f>0.212937718373242 * 0.843688291211511%</f>
        <v>1.7965305974879853E-3</v>
      </c>
      <c r="D680" t="s">
        <v>242</v>
      </c>
      <c r="E680" t="s">
        <v>329</v>
      </c>
      <c r="F680" t="s">
        <v>326</v>
      </c>
      <c r="G680" t="s">
        <v>245</v>
      </c>
    </row>
    <row r="681" spans="1:7" hidden="1" x14ac:dyDescent="0.2">
      <c r="A681" t="s">
        <v>25</v>
      </c>
      <c r="B681" t="s">
        <v>156</v>
      </c>
      <c r="C681" s="4">
        <f>0.755584923910716 * 0.843688291211511%</f>
        <v>6.374781533194116E-3</v>
      </c>
      <c r="D681" t="s">
        <v>242</v>
      </c>
      <c r="E681" t="s">
        <v>328</v>
      </c>
      <c r="F681" t="s">
        <v>326</v>
      </c>
      <c r="G681" t="s">
        <v>245</v>
      </c>
    </row>
    <row r="682" spans="1:7" hidden="1" x14ac:dyDescent="0.2">
      <c r="A682" t="s">
        <v>25</v>
      </c>
      <c r="B682" t="s">
        <v>156</v>
      </c>
      <c r="C682" s="4">
        <f>0.00154025450133466 * 0.843688291211511%</f>
        <v>1.2994946882618774E-5</v>
      </c>
      <c r="D682" t="s">
        <v>242</v>
      </c>
      <c r="E682" t="s">
        <v>290</v>
      </c>
      <c r="F682" t="s">
        <v>326</v>
      </c>
      <c r="G682" t="s">
        <v>245</v>
      </c>
    </row>
    <row r="683" spans="1:7" hidden="1" x14ac:dyDescent="0.2">
      <c r="A683" t="s">
        <v>25</v>
      </c>
      <c r="B683" t="s">
        <v>156</v>
      </c>
      <c r="C683" s="4">
        <f>4.63438553364394E-10 * 0.843688291211511%</f>
        <v>3.9099768116954021E-12</v>
      </c>
      <c r="D683" t="s">
        <v>256</v>
      </c>
      <c r="E683" t="s">
        <v>324</v>
      </c>
      <c r="F683" t="s">
        <v>326</v>
      </c>
      <c r="G683" t="s">
        <v>245</v>
      </c>
    </row>
    <row r="684" spans="1:7" hidden="1" x14ac:dyDescent="0.2">
      <c r="A684" t="s">
        <v>25</v>
      </c>
      <c r="B684" t="s">
        <v>156</v>
      </c>
      <c r="C684" s="4">
        <f>1.80533525994585E-09 * 0.843688291211511%</f>
        <v>1.5231402205276033E-11</v>
      </c>
      <c r="D684" t="s">
        <v>256</v>
      </c>
      <c r="E684" t="s">
        <v>325</v>
      </c>
      <c r="F684" t="s">
        <v>326</v>
      </c>
      <c r="G684" t="s">
        <v>245</v>
      </c>
    </row>
    <row r="685" spans="1:7" hidden="1" x14ac:dyDescent="0.2">
      <c r="A685" t="s">
        <v>25</v>
      </c>
      <c r="B685" t="s">
        <v>156</v>
      </c>
      <c r="C685" s="4">
        <f>0.000343246436607167 * 0.843688291211511%</f>
        <v>2.8959299956554097E-6</v>
      </c>
      <c r="D685" t="s">
        <v>256</v>
      </c>
      <c r="E685" t="s">
        <v>281</v>
      </c>
      <c r="F685" t="s">
        <v>326</v>
      </c>
      <c r="G685" t="s">
        <v>245</v>
      </c>
    </row>
    <row r="686" spans="1:7" hidden="1" x14ac:dyDescent="0.2">
      <c r="A686" t="s">
        <v>25</v>
      </c>
      <c r="B686" t="s">
        <v>151</v>
      </c>
      <c r="C686" s="4">
        <f>0.212937718373242 * 2.236883979967%</f>
        <v>4.7631697095982979E-3</v>
      </c>
      <c r="D686" t="s">
        <v>242</v>
      </c>
      <c r="E686" t="s">
        <v>329</v>
      </c>
      <c r="F686" t="s">
        <v>326</v>
      </c>
      <c r="G686" t="s">
        <v>245</v>
      </c>
    </row>
    <row r="687" spans="1:7" hidden="1" x14ac:dyDescent="0.2">
      <c r="A687" t="s">
        <v>25</v>
      </c>
      <c r="B687" t="s">
        <v>151</v>
      </c>
      <c r="C687" s="4">
        <f>0.755584923910716 * 2.236883979967%</f>
        <v>1.6901558118004652E-2</v>
      </c>
      <c r="D687" t="s">
        <v>242</v>
      </c>
      <c r="E687" t="s">
        <v>328</v>
      </c>
      <c r="F687" t="s">
        <v>326</v>
      </c>
      <c r="G687" t="s">
        <v>245</v>
      </c>
    </row>
    <row r="688" spans="1:7" hidden="1" x14ac:dyDescent="0.2">
      <c r="A688" t="s">
        <v>25</v>
      </c>
      <c r="B688" t="s">
        <v>151</v>
      </c>
      <c r="C688" s="4">
        <f>0.00154025450133466 * 2.236883979967%</f>
        <v>3.4453706191075612E-5</v>
      </c>
      <c r="D688" t="s">
        <v>242</v>
      </c>
      <c r="E688" t="s">
        <v>290</v>
      </c>
      <c r="F688" t="s">
        <v>326</v>
      </c>
      <c r="G688" t="s">
        <v>245</v>
      </c>
    </row>
    <row r="689" spans="1:7" hidden="1" x14ac:dyDescent="0.2">
      <c r="A689" t="s">
        <v>25</v>
      </c>
      <c r="B689" t="s">
        <v>151</v>
      </c>
      <c r="C689" s="4">
        <f>4.63438553364394E-10 * 2.236883979967%</f>
        <v>1.0366582757198947E-11</v>
      </c>
      <c r="D689" t="s">
        <v>256</v>
      </c>
      <c r="E689" t="s">
        <v>324</v>
      </c>
      <c r="F689" t="s">
        <v>326</v>
      </c>
      <c r="G689" t="s">
        <v>245</v>
      </c>
    </row>
    <row r="690" spans="1:7" hidden="1" x14ac:dyDescent="0.2">
      <c r="A690" t="s">
        <v>25</v>
      </c>
      <c r="B690" t="s">
        <v>151</v>
      </c>
      <c r="C690" s="4">
        <f>1.80533525994585E-09 * 2.236883979967%</f>
        <v>4.0383255214424316E-11</v>
      </c>
      <c r="D690" t="s">
        <v>256</v>
      </c>
      <c r="E690" t="s">
        <v>325</v>
      </c>
      <c r="F690" t="s">
        <v>326</v>
      </c>
      <c r="G690" t="s">
        <v>245</v>
      </c>
    </row>
    <row r="691" spans="1:7" hidden="1" x14ac:dyDescent="0.2">
      <c r="A691" t="s">
        <v>25</v>
      </c>
      <c r="B691" t="s">
        <v>151</v>
      </c>
      <c r="C691" s="4">
        <f>0.000343246436607167 * 2.236883979967%</f>
        <v>7.6780245522733038E-6</v>
      </c>
      <c r="D691" t="s">
        <v>256</v>
      </c>
      <c r="E691" t="s">
        <v>281</v>
      </c>
      <c r="F691" t="s">
        <v>326</v>
      </c>
      <c r="G691" t="s">
        <v>245</v>
      </c>
    </row>
    <row r="692" spans="1:7" hidden="1" x14ac:dyDescent="0.2">
      <c r="A692" t="s">
        <v>25</v>
      </c>
      <c r="B692" t="s">
        <v>107</v>
      </c>
      <c r="C692" s="4">
        <f>0.212937718373242 * 4.2221978014209%</f>
        <v>8.9906516635508502E-3</v>
      </c>
      <c r="D692" t="s">
        <v>242</v>
      </c>
      <c r="E692" t="s">
        <v>329</v>
      </c>
      <c r="F692" t="s">
        <v>326</v>
      </c>
      <c r="G692" t="s">
        <v>245</v>
      </c>
    </row>
    <row r="693" spans="1:7" hidden="1" x14ac:dyDescent="0.2">
      <c r="A693" t="s">
        <v>25</v>
      </c>
      <c r="B693" t="s">
        <v>107</v>
      </c>
      <c r="C693" s="4">
        <f>0.755584923910716 * 4.2221978014209%</f>
        <v>3.1902290045226024E-2</v>
      </c>
      <c r="D693" t="s">
        <v>242</v>
      </c>
      <c r="E693" t="s">
        <v>328</v>
      </c>
      <c r="F693" t="s">
        <v>326</v>
      </c>
      <c r="G693" t="s">
        <v>245</v>
      </c>
    </row>
    <row r="694" spans="1:7" hidden="1" x14ac:dyDescent="0.2">
      <c r="A694" t="s">
        <v>25</v>
      </c>
      <c r="B694" t="s">
        <v>107</v>
      </c>
      <c r="C694" s="4">
        <f>0.00154025450133466 * 4.2221978014209%</f>
        <v>6.5032591691638458E-5</v>
      </c>
      <c r="D694" t="s">
        <v>242</v>
      </c>
      <c r="E694" t="s">
        <v>290</v>
      </c>
      <c r="F694" t="s">
        <v>326</v>
      </c>
      <c r="G694" t="s">
        <v>245</v>
      </c>
    </row>
    <row r="695" spans="1:7" hidden="1" x14ac:dyDescent="0.2">
      <c r="A695" t="s">
        <v>25</v>
      </c>
      <c r="B695" t="s">
        <v>107</v>
      </c>
      <c r="C695" s="4">
        <f>4.63438553364394E-10 * 4.2221978014209%</f>
        <v>1.9567292411088267E-11</v>
      </c>
      <c r="D695" t="s">
        <v>256</v>
      </c>
      <c r="E695" t="s">
        <v>324</v>
      </c>
      <c r="F695" t="s">
        <v>326</v>
      </c>
      <c r="G695" t="s">
        <v>245</v>
      </c>
    </row>
    <row r="696" spans="1:7" hidden="1" x14ac:dyDescent="0.2">
      <c r="A696" t="s">
        <v>25</v>
      </c>
      <c r="B696" t="s">
        <v>107</v>
      </c>
      <c r="C696" s="4">
        <f>1.80533525994585E-09 * 4.2221978014209%</f>
        <v>7.6224825653709952E-11</v>
      </c>
      <c r="D696" t="s">
        <v>256</v>
      </c>
      <c r="E696" t="s">
        <v>325</v>
      </c>
      <c r="F696" t="s">
        <v>326</v>
      </c>
      <c r="G696" t="s">
        <v>245</v>
      </c>
    </row>
    <row r="697" spans="1:7" hidden="1" x14ac:dyDescent="0.2">
      <c r="A697" t="s">
        <v>25</v>
      </c>
      <c r="B697" t="s">
        <v>107</v>
      </c>
      <c r="C697" s="4">
        <f>0.000343246436607167 * 4.2221978014209%</f>
        <v>1.4492543499883387E-5</v>
      </c>
      <c r="D697" t="s">
        <v>256</v>
      </c>
      <c r="E697" t="s">
        <v>281</v>
      </c>
      <c r="F697" t="s">
        <v>326</v>
      </c>
      <c r="G697" t="s">
        <v>245</v>
      </c>
    </row>
    <row r="698" spans="1:7" hidden="1" x14ac:dyDescent="0.2">
      <c r="A698" t="s">
        <v>25</v>
      </c>
      <c r="B698" t="s">
        <v>179</v>
      </c>
      <c r="C698" s="4">
        <f>0.212937718373242 * 0.261260381322693%</f>
        <v>5.5632189500177411E-4</v>
      </c>
      <c r="D698" t="s">
        <v>242</v>
      </c>
      <c r="E698" t="s">
        <v>329</v>
      </c>
      <c r="F698" t="s">
        <v>326</v>
      </c>
      <c r="G698" t="s">
        <v>245</v>
      </c>
    </row>
    <row r="699" spans="1:7" hidden="1" x14ac:dyDescent="0.2">
      <c r="A699" t="s">
        <v>25</v>
      </c>
      <c r="B699" t="s">
        <v>179</v>
      </c>
      <c r="C699" s="4">
        <f>0.755584923910716 * 0.261260381322693%</f>
        <v>1.9740440534259164E-3</v>
      </c>
      <c r="D699" t="s">
        <v>242</v>
      </c>
      <c r="E699" t="s">
        <v>328</v>
      </c>
      <c r="F699" t="s">
        <v>326</v>
      </c>
      <c r="G699" t="s">
        <v>245</v>
      </c>
    </row>
    <row r="700" spans="1:7" hidden="1" x14ac:dyDescent="0.2">
      <c r="A700" t="s">
        <v>25</v>
      </c>
      <c r="B700" t="s">
        <v>179</v>
      </c>
      <c r="C700" s="4">
        <f>0.00154025450133466 * 0.261260381322693%</f>
        <v>4.0240747835268764E-6</v>
      </c>
      <c r="D700" t="s">
        <v>242</v>
      </c>
      <c r="E700" t="s">
        <v>290</v>
      </c>
      <c r="F700" t="s">
        <v>326</v>
      </c>
      <c r="G700" t="s">
        <v>245</v>
      </c>
    </row>
    <row r="701" spans="1:7" hidden="1" x14ac:dyDescent="0.2">
      <c r="A701" t="s">
        <v>25</v>
      </c>
      <c r="B701" t="s">
        <v>179</v>
      </c>
      <c r="C701" s="4">
        <f>4.63438553364394E-10 * 0.261260381322693%</f>
        <v>1.2107813317161877E-12</v>
      </c>
      <c r="D701" t="s">
        <v>256</v>
      </c>
      <c r="E701" t="s">
        <v>324</v>
      </c>
      <c r="F701" t="s">
        <v>326</v>
      </c>
      <c r="G701" t="s">
        <v>245</v>
      </c>
    </row>
    <row r="702" spans="1:7" hidden="1" x14ac:dyDescent="0.2">
      <c r="A702" t="s">
        <v>25</v>
      </c>
      <c r="B702" t="s">
        <v>179</v>
      </c>
      <c r="C702" s="4">
        <f>1.80533525994585E-09 * 0.261260381322693%</f>
        <v>4.7166257842875587E-12</v>
      </c>
      <c r="D702" t="s">
        <v>256</v>
      </c>
      <c r="E702" t="s">
        <v>325</v>
      </c>
      <c r="F702" t="s">
        <v>326</v>
      </c>
      <c r="G702" t="s">
        <v>245</v>
      </c>
    </row>
    <row r="703" spans="1:7" hidden="1" x14ac:dyDescent="0.2">
      <c r="A703" t="s">
        <v>25</v>
      </c>
      <c r="B703" t="s">
        <v>179</v>
      </c>
      <c r="C703" s="4">
        <f>0.000343246436607167 * 0.261260381322693%</f>
        <v>8.9676694915644021E-7</v>
      </c>
      <c r="D703" t="s">
        <v>256</v>
      </c>
      <c r="E703" t="s">
        <v>281</v>
      </c>
      <c r="F703" t="s">
        <v>326</v>
      </c>
      <c r="G703" t="s">
        <v>245</v>
      </c>
    </row>
    <row r="704" spans="1:7" hidden="1" x14ac:dyDescent="0.2">
      <c r="A704" t="s">
        <v>25</v>
      </c>
      <c r="B704" t="s">
        <v>137</v>
      </c>
      <c r="C704" s="4">
        <f>0.212937718373242 * 0.131636120265745%</f>
        <v>2.8030295104893423E-4</v>
      </c>
      <c r="D704" t="s">
        <v>242</v>
      </c>
      <c r="E704" t="s">
        <v>329</v>
      </c>
      <c r="F704" t="s">
        <v>326</v>
      </c>
      <c r="G704" t="s">
        <v>245</v>
      </c>
    </row>
    <row r="705" spans="1:7" hidden="1" x14ac:dyDescent="0.2">
      <c r="A705" t="s">
        <v>25</v>
      </c>
      <c r="B705" t="s">
        <v>137</v>
      </c>
      <c r="C705" s="4">
        <f>0.755584923910716 * 0.131636120265745%</f>
        <v>9.9462267914894793E-4</v>
      </c>
      <c r="D705" t="s">
        <v>242</v>
      </c>
      <c r="E705" t="s">
        <v>328</v>
      </c>
      <c r="F705" t="s">
        <v>326</v>
      </c>
      <c r="G705" t="s">
        <v>245</v>
      </c>
    </row>
    <row r="706" spans="1:7" hidden="1" x14ac:dyDescent="0.2">
      <c r="A706" t="s">
        <v>25</v>
      </c>
      <c r="B706" t="s">
        <v>137</v>
      </c>
      <c r="C706" s="4">
        <f>0.00154025450133466 * 0.131636120265745%</f>
        <v>2.0275312677754439E-6</v>
      </c>
      <c r="D706" t="s">
        <v>242</v>
      </c>
      <c r="E706" t="s">
        <v>290</v>
      </c>
      <c r="F706" t="s">
        <v>326</v>
      </c>
      <c r="G706" t="s">
        <v>245</v>
      </c>
    </row>
    <row r="707" spans="1:7" hidden="1" x14ac:dyDescent="0.2">
      <c r="A707" t="s">
        <v>25</v>
      </c>
      <c r="B707" t="s">
        <v>137</v>
      </c>
      <c r="C707" s="4">
        <f>4.63438553364394E-10 * 0.131636120265745%</f>
        <v>6.1005253146458254E-13</v>
      </c>
      <c r="D707" t="s">
        <v>256</v>
      </c>
      <c r="E707" t="s">
        <v>324</v>
      </c>
      <c r="F707" t="s">
        <v>326</v>
      </c>
      <c r="G707" t="s">
        <v>245</v>
      </c>
    </row>
    <row r="708" spans="1:7" hidden="1" x14ac:dyDescent="0.2">
      <c r="A708" t="s">
        <v>25</v>
      </c>
      <c r="B708" t="s">
        <v>137</v>
      </c>
      <c r="C708" s="4">
        <f>1.80533525994585E-09 * 0.131636120265745%</f>
        <v>2.3764732939822192E-12</v>
      </c>
      <c r="D708" t="s">
        <v>256</v>
      </c>
      <c r="E708" t="s">
        <v>325</v>
      </c>
      <c r="F708" t="s">
        <v>326</v>
      </c>
      <c r="G708" t="s">
        <v>245</v>
      </c>
    </row>
    <row r="709" spans="1:7" hidden="1" x14ac:dyDescent="0.2">
      <c r="A709" t="s">
        <v>25</v>
      </c>
      <c r="B709" t="s">
        <v>137</v>
      </c>
      <c r="C709" s="4">
        <f>0.000343246436607167 * 0.131636120265745%</f>
        <v>4.5183629210009457E-7</v>
      </c>
      <c r="D709" t="s">
        <v>256</v>
      </c>
      <c r="E709" t="s">
        <v>281</v>
      </c>
      <c r="F709" t="s">
        <v>326</v>
      </c>
      <c r="G709" t="s">
        <v>245</v>
      </c>
    </row>
    <row r="710" spans="1:7" hidden="1" x14ac:dyDescent="0.2">
      <c r="A710" t="s">
        <v>25</v>
      </c>
      <c r="B710" t="s">
        <v>121</v>
      </c>
      <c r="C710" s="4">
        <f>0.212937718373242 * 1.62958135424304%</f>
        <v>3.4699933547609071E-3</v>
      </c>
      <c r="D710" t="s">
        <v>242</v>
      </c>
      <c r="E710" t="s">
        <v>329</v>
      </c>
      <c r="F710" t="s">
        <v>326</v>
      </c>
      <c r="G710" t="s">
        <v>245</v>
      </c>
    </row>
    <row r="711" spans="1:7" hidden="1" x14ac:dyDescent="0.2">
      <c r="A711" t="s">
        <v>25</v>
      </c>
      <c r="B711" t="s">
        <v>121</v>
      </c>
      <c r="C711" s="4">
        <f>0.755584923910716 * 1.62958135424304%</f>
        <v>1.2312871035520487E-2</v>
      </c>
      <c r="D711" t="s">
        <v>242</v>
      </c>
      <c r="E711" t="s">
        <v>328</v>
      </c>
      <c r="F711" t="s">
        <v>326</v>
      </c>
      <c r="G711" t="s">
        <v>245</v>
      </c>
    </row>
    <row r="712" spans="1:7" hidden="1" x14ac:dyDescent="0.2">
      <c r="A712" t="s">
        <v>25</v>
      </c>
      <c r="B712" t="s">
        <v>121</v>
      </c>
      <c r="C712" s="4">
        <f>0.00154025450133466 * 1.62958135424304%</f>
        <v>2.5099700161638731E-5</v>
      </c>
      <c r="D712" t="s">
        <v>242</v>
      </c>
      <c r="E712" t="s">
        <v>290</v>
      </c>
      <c r="F712" t="s">
        <v>326</v>
      </c>
      <c r="G712" t="s">
        <v>245</v>
      </c>
    </row>
    <row r="713" spans="1:7" hidden="1" x14ac:dyDescent="0.2">
      <c r="A713" t="s">
        <v>25</v>
      </c>
      <c r="B713" t="s">
        <v>121</v>
      </c>
      <c r="C713" s="4">
        <f>4.63438553364394E-10 * 1.62958135424304%</f>
        <v>7.5521082539998444E-12</v>
      </c>
      <c r="D713" t="s">
        <v>256</v>
      </c>
      <c r="E713" t="s">
        <v>324</v>
      </c>
      <c r="F713" t="s">
        <v>326</v>
      </c>
      <c r="G713" t="s">
        <v>245</v>
      </c>
    </row>
    <row r="714" spans="1:7" hidden="1" x14ac:dyDescent="0.2">
      <c r="A714" t="s">
        <v>25</v>
      </c>
      <c r="B714" t="s">
        <v>121</v>
      </c>
      <c r="C714" s="4">
        <f>1.80533525994585E-09 * 1.62958135424304%</f>
        <v>2.9419406777652682E-11</v>
      </c>
      <c r="D714" t="s">
        <v>256</v>
      </c>
      <c r="E714" t="s">
        <v>325</v>
      </c>
      <c r="F714" t="s">
        <v>326</v>
      </c>
      <c r="G714" t="s">
        <v>245</v>
      </c>
    </row>
    <row r="715" spans="1:7" hidden="1" x14ac:dyDescent="0.2">
      <c r="A715" t="s">
        <v>25</v>
      </c>
      <c r="B715" t="s">
        <v>121</v>
      </c>
      <c r="C715" s="4">
        <f>0.000343246436607167 * 1.62958135424304%</f>
        <v>5.5934799300540489E-6</v>
      </c>
      <c r="D715" t="s">
        <v>256</v>
      </c>
      <c r="E715" t="s">
        <v>281</v>
      </c>
      <c r="F715" t="s">
        <v>326</v>
      </c>
      <c r="G715" t="s">
        <v>245</v>
      </c>
    </row>
    <row r="716" spans="1:7" hidden="1" x14ac:dyDescent="0.2">
      <c r="A716" t="s">
        <v>25</v>
      </c>
      <c r="B716" t="s">
        <v>138</v>
      </c>
      <c r="C716" s="4">
        <f>0.212937718373242 * 0.897519672854141%</f>
        <v>1.9111579133265937E-3</v>
      </c>
      <c r="D716" t="s">
        <v>242</v>
      </c>
      <c r="E716" t="s">
        <v>329</v>
      </c>
      <c r="F716" t="s">
        <v>326</v>
      </c>
      <c r="G716" t="s">
        <v>245</v>
      </c>
    </row>
    <row r="717" spans="1:7" hidden="1" x14ac:dyDescent="0.2">
      <c r="A717" t="s">
        <v>25</v>
      </c>
      <c r="B717" t="s">
        <v>138</v>
      </c>
      <c r="C717" s="4">
        <f>0.755584923910716 * 0.897519672854141%</f>
        <v>6.781523337218669E-3</v>
      </c>
      <c r="D717" t="s">
        <v>242</v>
      </c>
      <c r="E717" t="s">
        <v>328</v>
      </c>
      <c r="F717" t="s">
        <v>326</v>
      </c>
      <c r="G717" t="s">
        <v>245</v>
      </c>
    </row>
    <row r="718" spans="1:7" hidden="1" x14ac:dyDescent="0.2">
      <c r="A718" t="s">
        <v>25</v>
      </c>
      <c r="B718" t="s">
        <v>138</v>
      </c>
      <c r="C718" s="4">
        <f>0.00154025450133466 * 0.897519672854141%</f>
        <v>1.3824087161500023E-5</v>
      </c>
      <c r="D718" t="s">
        <v>242</v>
      </c>
      <c r="E718" t="s">
        <v>290</v>
      </c>
      <c r="F718" t="s">
        <v>326</v>
      </c>
      <c r="G718" t="s">
        <v>245</v>
      </c>
    </row>
    <row r="719" spans="1:7" hidden="1" x14ac:dyDescent="0.2">
      <c r="A719" t="s">
        <v>25</v>
      </c>
      <c r="B719" t="s">
        <v>138</v>
      </c>
      <c r="C719" s="4">
        <f>4.63438553364394E-10 * 0.897519672854141%</f>
        <v>4.1594521880360729E-12</v>
      </c>
      <c r="D719" t="s">
        <v>256</v>
      </c>
      <c r="E719" t="s">
        <v>324</v>
      </c>
      <c r="F719" t="s">
        <v>326</v>
      </c>
      <c r="G719" t="s">
        <v>245</v>
      </c>
    </row>
    <row r="720" spans="1:7" hidden="1" x14ac:dyDescent="0.2">
      <c r="A720" t="s">
        <v>25</v>
      </c>
      <c r="B720" t="s">
        <v>138</v>
      </c>
      <c r="C720" s="4">
        <f>1.80533525994585E-09 * 0.897519672854141%</f>
        <v>1.620323911898645E-11</v>
      </c>
      <c r="D720" t="s">
        <v>256</v>
      </c>
      <c r="E720" t="s">
        <v>325</v>
      </c>
      <c r="F720" t="s">
        <v>326</v>
      </c>
      <c r="G720" t="s">
        <v>245</v>
      </c>
    </row>
    <row r="721" spans="1:7" hidden="1" x14ac:dyDescent="0.2">
      <c r="A721" t="s">
        <v>25</v>
      </c>
      <c r="B721" t="s">
        <v>138</v>
      </c>
      <c r="C721" s="4">
        <f>0.000343246436607167 * 0.897519672854141%</f>
        <v>3.0807042949201417E-6</v>
      </c>
      <c r="D721" t="s">
        <v>256</v>
      </c>
      <c r="E721" t="s">
        <v>281</v>
      </c>
      <c r="F721" t="s">
        <v>326</v>
      </c>
      <c r="G721" t="s">
        <v>245</v>
      </c>
    </row>
    <row r="722" spans="1:7" hidden="1" x14ac:dyDescent="0.2">
      <c r="A722" t="s">
        <v>25</v>
      </c>
      <c r="B722" t="s">
        <v>112</v>
      </c>
      <c r="C722" s="4">
        <f>0.212937718373242 * 0.483814002148055%</f>
        <v>1.0302224973443362E-3</v>
      </c>
      <c r="D722" t="s">
        <v>242</v>
      </c>
      <c r="E722" t="s">
        <v>329</v>
      </c>
      <c r="F722" t="s">
        <v>326</v>
      </c>
      <c r="G722" t="s">
        <v>245</v>
      </c>
    </row>
    <row r="723" spans="1:7" hidden="1" x14ac:dyDescent="0.2">
      <c r="A723" t="s">
        <v>25</v>
      </c>
      <c r="B723" t="s">
        <v>112</v>
      </c>
      <c r="C723" s="4">
        <f>0.755584923910716 * 0.483814002148055%</f>
        <v>3.6556256599997706E-3</v>
      </c>
      <c r="D723" t="s">
        <v>242</v>
      </c>
      <c r="E723" t="s">
        <v>328</v>
      </c>
      <c r="F723" t="s">
        <v>326</v>
      </c>
      <c r="G723" t="s">
        <v>245</v>
      </c>
    </row>
    <row r="724" spans="1:7" hidden="1" x14ac:dyDescent="0.2">
      <c r="A724" t="s">
        <v>25</v>
      </c>
      <c r="B724" t="s">
        <v>112</v>
      </c>
      <c r="C724" s="4">
        <f>0.00154025450133466 * 0.483814002148055%</f>
        <v>7.4519669461727847E-6</v>
      </c>
      <c r="D724" t="s">
        <v>242</v>
      </c>
      <c r="E724" t="s">
        <v>290</v>
      </c>
      <c r="F724" t="s">
        <v>326</v>
      </c>
      <c r="G724" t="s">
        <v>245</v>
      </c>
    </row>
    <row r="725" spans="1:7" hidden="1" x14ac:dyDescent="0.2">
      <c r="A725" t="s">
        <v>25</v>
      </c>
      <c r="B725" t="s">
        <v>112</v>
      </c>
      <c r="C725" s="4">
        <f>4.63438553364394E-10 * 0.483814002148055%</f>
        <v>2.2421806125293237E-12</v>
      </c>
      <c r="D725" t="s">
        <v>256</v>
      </c>
      <c r="E725" t="s">
        <v>324</v>
      </c>
      <c r="F725" t="s">
        <v>326</v>
      </c>
      <c r="G725" t="s">
        <v>245</v>
      </c>
    </row>
    <row r="726" spans="1:7" hidden="1" x14ac:dyDescent="0.2">
      <c r="A726" t="s">
        <v>25</v>
      </c>
      <c r="B726" t="s">
        <v>112</v>
      </c>
      <c r="C726" s="4">
        <f>1.80533525994585E-09 * 0.483814002148055%</f>
        <v>8.734464773334008E-12</v>
      </c>
      <c r="D726" t="s">
        <v>256</v>
      </c>
      <c r="E726" t="s">
        <v>325</v>
      </c>
      <c r="F726" t="s">
        <v>326</v>
      </c>
      <c r="G726" t="s">
        <v>245</v>
      </c>
    </row>
    <row r="727" spans="1:7" hidden="1" x14ac:dyDescent="0.2">
      <c r="A727" t="s">
        <v>25</v>
      </c>
      <c r="B727" t="s">
        <v>112</v>
      </c>
      <c r="C727" s="4">
        <f>0.000343246436607167 * 0.483814002148055%</f>
        <v>1.660674322179721E-6</v>
      </c>
      <c r="D727" t="s">
        <v>256</v>
      </c>
      <c r="E727" t="s">
        <v>281</v>
      </c>
      <c r="F727" t="s">
        <v>326</v>
      </c>
      <c r="G727" t="s">
        <v>245</v>
      </c>
    </row>
    <row r="728" spans="1:7" hidden="1" x14ac:dyDescent="0.2">
      <c r="A728" t="s">
        <v>25</v>
      </c>
      <c r="B728" t="s">
        <v>113</v>
      </c>
      <c r="C728" s="4">
        <f>0.212937718373242 * 4.15084364277218%</f>
        <v>8.8387117461598448E-3</v>
      </c>
      <c r="D728" t="s">
        <v>242</v>
      </c>
      <c r="E728" t="s">
        <v>329</v>
      </c>
      <c r="F728" t="s">
        <v>326</v>
      </c>
      <c r="G728" t="s">
        <v>245</v>
      </c>
    </row>
    <row r="729" spans="1:7" hidden="1" x14ac:dyDescent="0.2">
      <c r="A729" t="s">
        <v>25</v>
      </c>
      <c r="B729" t="s">
        <v>113</v>
      </c>
      <c r="C729" s="4">
        <f>0.755584923910716 * 4.15084364277218%</f>
        <v>3.136314877989297E-2</v>
      </c>
      <c r="D729" t="s">
        <v>242</v>
      </c>
      <c r="E729" t="s">
        <v>328</v>
      </c>
      <c r="F729" t="s">
        <v>326</v>
      </c>
      <c r="G729" t="s">
        <v>245</v>
      </c>
    </row>
    <row r="730" spans="1:7" hidden="1" x14ac:dyDescent="0.2">
      <c r="A730" t="s">
        <v>25</v>
      </c>
      <c r="B730" t="s">
        <v>113</v>
      </c>
      <c r="C730" s="4">
        <f>0.00154025450133466 * 4.15084364277218%</f>
        <v>6.3933556051162091E-5</v>
      </c>
      <c r="D730" t="s">
        <v>242</v>
      </c>
      <c r="E730" t="s">
        <v>290</v>
      </c>
      <c r="F730" t="s">
        <v>326</v>
      </c>
      <c r="G730" t="s">
        <v>245</v>
      </c>
    </row>
    <row r="731" spans="1:7" hidden="1" x14ac:dyDescent="0.2">
      <c r="A731" t="s">
        <v>25</v>
      </c>
      <c r="B731" t="s">
        <v>113</v>
      </c>
      <c r="C731" s="4">
        <f>4.63438553364394E-10 * 4.15084364277218%</f>
        <v>1.9236609730481306E-11</v>
      </c>
      <c r="D731" t="s">
        <v>256</v>
      </c>
      <c r="E731" t="s">
        <v>324</v>
      </c>
      <c r="F731" t="s">
        <v>326</v>
      </c>
      <c r="G731" t="s">
        <v>245</v>
      </c>
    </row>
    <row r="732" spans="1:7" hidden="1" x14ac:dyDescent="0.2">
      <c r="A732" t="s">
        <v>25</v>
      </c>
      <c r="B732" t="s">
        <v>113</v>
      </c>
      <c r="C732" s="4">
        <f>1.80533525994585E-09 * 4.15084364277218%</f>
        <v>7.4936643868186937E-11</v>
      </c>
      <c r="D732" t="s">
        <v>256</v>
      </c>
      <c r="E732" t="s">
        <v>325</v>
      </c>
      <c r="F732" t="s">
        <v>326</v>
      </c>
      <c r="G732" t="s">
        <v>245</v>
      </c>
    </row>
    <row r="733" spans="1:7" hidden="1" x14ac:dyDescent="0.2">
      <c r="A733" t="s">
        <v>25</v>
      </c>
      <c r="B733" t="s">
        <v>113</v>
      </c>
      <c r="C733" s="4">
        <f>0.000343246436607167 * 4.15084364277218%</f>
        <v>1.4247622892950633E-5</v>
      </c>
      <c r="D733" t="s">
        <v>256</v>
      </c>
      <c r="E733" t="s">
        <v>281</v>
      </c>
      <c r="F733" t="s">
        <v>326</v>
      </c>
      <c r="G733" t="s">
        <v>245</v>
      </c>
    </row>
    <row r="734" spans="1:7" hidden="1" x14ac:dyDescent="0.2">
      <c r="A734" t="s">
        <v>25</v>
      </c>
      <c r="B734" t="s">
        <v>122</v>
      </c>
      <c r="C734" s="4">
        <f>0.212937718373242 * 0.0995931820560104%</f>
        <v>2.1207144952537757E-4</v>
      </c>
      <c r="D734" t="s">
        <v>242</v>
      </c>
      <c r="E734" t="s">
        <v>329</v>
      </c>
      <c r="F734" t="s">
        <v>326</v>
      </c>
      <c r="G734" t="s">
        <v>245</v>
      </c>
    </row>
    <row r="735" spans="1:7" hidden="1" x14ac:dyDescent="0.2">
      <c r="A735" t="s">
        <v>25</v>
      </c>
      <c r="B735" t="s">
        <v>122</v>
      </c>
      <c r="C735" s="4">
        <f>0.755584923910716 * 0.0995931820560104%</f>
        <v>7.5251106885816687E-4</v>
      </c>
      <c r="D735" t="s">
        <v>242</v>
      </c>
      <c r="E735" t="s">
        <v>328</v>
      </c>
      <c r="F735" t="s">
        <v>326</v>
      </c>
      <c r="G735" t="s">
        <v>245</v>
      </c>
    </row>
    <row r="736" spans="1:7" hidden="1" x14ac:dyDescent="0.2">
      <c r="A736" t="s">
        <v>25</v>
      </c>
      <c r="B736" t="s">
        <v>122</v>
      </c>
      <c r="C736" s="4">
        <f>0.00154025450133466 * 0.0995931820560104%</f>
        <v>1.5339884696401227E-6</v>
      </c>
      <c r="D736" t="s">
        <v>242</v>
      </c>
      <c r="E736" t="s">
        <v>290</v>
      </c>
      <c r="F736" t="s">
        <v>326</v>
      </c>
      <c r="G736" t="s">
        <v>245</v>
      </c>
    </row>
    <row r="737" spans="1:7" hidden="1" x14ac:dyDescent="0.2">
      <c r="A737" t="s">
        <v>25</v>
      </c>
      <c r="B737" t="s">
        <v>122</v>
      </c>
      <c r="C737" s="4">
        <f>4.63438553364394E-10 * 0.0995931820560104%</f>
        <v>4.6155320216994175E-13</v>
      </c>
      <c r="D737" t="s">
        <v>256</v>
      </c>
      <c r="E737" t="s">
        <v>324</v>
      </c>
      <c r="F737" t="s">
        <v>326</v>
      </c>
      <c r="G737" t="s">
        <v>245</v>
      </c>
    </row>
    <row r="738" spans="1:7" hidden="1" x14ac:dyDescent="0.2">
      <c r="A738" t="s">
        <v>25</v>
      </c>
      <c r="B738" t="s">
        <v>122</v>
      </c>
      <c r="C738" s="4">
        <f>1.80533525994585E-09 * 0.0995931820560104%</f>
        <v>1.7979908321592187E-12</v>
      </c>
      <c r="D738" t="s">
        <v>256</v>
      </c>
      <c r="E738" t="s">
        <v>325</v>
      </c>
      <c r="F738" t="s">
        <v>326</v>
      </c>
      <c r="G738" t="s">
        <v>245</v>
      </c>
    </row>
    <row r="739" spans="1:7" hidden="1" x14ac:dyDescent="0.2">
      <c r="A739" t="s">
        <v>25</v>
      </c>
      <c r="B739" t="s">
        <v>122</v>
      </c>
      <c r="C739" s="4">
        <f>0.000343246436607167 * 0.0995931820560104%</f>
        <v>3.4185004851094411E-7</v>
      </c>
      <c r="D739" t="s">
        <v>256</v>
      </c>
      <c r="E739" t="s">
        <v>281</v>
      </c>
      <c r="F739" t="s">
        <v>326</v>
      </c>
      <c r="G739" t="s">
        <v>245</v>
      </c>
    </row>
    <row r="740" spans="1:7" hidden="1" x14ac:dyDescent="0.2">
      <c r="A740" t="s">
        <v>25</v>
      </c>
      <c r="B740" t="s">
        <v>180</v>
      </c>
      <c r="C740" s="4">
        <f>0.212937718373242 * 0.533679896927852%</f>
        <v>1.1364057959348376E-3</v>
      </c>
      <c r="D740" t="s">
        <v>242</v>
      </c>
      <c r="E740" t="s">
        <v>329</v>
      </c>
      <c r="F740" t="s">
        <v>326</v>
      </c>
      <c r="G740" t="s">
        <v>245</v>
      </c>
    </row>
    <row r="741" spans="1:7" hidden="1" x14ac:dyDescent="0.2">
      <c r="A741" t="s">
        <v>25</v>
      </c>
      <c r="B741" t="s">
        <v>180</v>
      </c>
      <c r="C741" s="4">
        <f>0.755584923910716 * 0.533679896927852%</f>
        <v>4.0324048431290976E-3</v>
      </c>
      <c r="D741" t="s">
        <v>242</v>
      </c>
      <c r="E741" t="s">
        <v>328</v>
      </c>
      <c r="F741" t="s">
        <v>326</v>
      </c>
      <c r="G741" t="s">
        <v>245</v>
      </c>
    </row>
    <row r="742" spans="1:7" hidden="1" x14ac:dyDescent="0.2">
      <c r="A742" t="s">
        <v>25</v>
      </c>
      <c r="B742" t="s">
        <v>180</v>
      </c>
      <c r="C742" s="4">
        <f>0.00154025450133466 * 0.533679896927852%</f>
        <v>8.2200286351494131E-6</v>
      </c>
      <c r="D742" t="s">
        <v>242</v>
      </c>
      <c r="E742" t="s">
        <v>290</v>
      </c>
      <c r="F742" t="s">
        <v>326</v>
      </c>
      <c r="G742" t="s">
        <v>245</v>
      </c>
    </row>
    <row r="743" spans="1:7" hidden="1" x14ac:dyDescent="0.2">
      <c r="A743" t="s">
        <v>25</v>
      </c>
      <c r="B743" t="s">
        <v>180</v>
      </c>
      <c r="C743" s="4">
        <f>4.63438553364394E-10 * 0.533679896927852%</f>
        <v>2.4732783939190262E-12</v>
      </c>
      <c r="D743" t="s">
        <v>256</v>
      </c>
      <c r="E743" t="s">
        <v>324</v>
      </c>
      <c r="F743" t="s">
        <v>326</v>
      </c>
      <c r="G743" t="s">
        <v>245</v>
      </c>
    </row>
    <row r="744" spans="1:7" hidden="1" x14ac:dyDescent="0.2">
      <c r="A744" t="s">
        <v>25</v>
      </c>
      <c r="B744" t="s">
        <v>180</v>
      </c>
      <c r="C744" s="4">
        <f>1.80533525994585E-09 * 0.533679896927852%</f>
        <v>9.6347113544811805E-12</v>
      </c>
      <c r="D744" t="s">
        <v>256</v>
      </c>
      <c r="E744" t="s">
        <v>325</v>
      </c>
      <c r="F744" t="s">
        <v>326</v>
      </c>
      <c r="G744" t="s">
        <v>245</v>
      </c>
    </row>
    <row r="745" spans="1:7" hidden="1" x14ac:dyDescent="0.2">
      <c r="A745" t="s">
        <v>25</v>
      </c>
      <c r="B745" t="s">
        <v>180</v>
      </c>
      <c r="C745" s="4">
        <f>0.000343246436607167 * 0.533679896927852%</f>
        <v>1.8318372290936535E-6</v>
      </c>
      <c r="D745" t="s">
        <v>256</v>
      </c>
      <c r="E745" t="s">
        <v>281</v>
      </c>
      <c r="F745" t="s">
        <v>326</v>
      </c>
      <c r="G745" t="s">
        <v>245</v>
      </c>
    </row>
    <row r="746" spans="1:7" hidden="1" x14ac:dyDescent="0.2">
      <c r="A746" t="s">
        <v>25</v>
      </c>
      <c r="B746" t="s">
        <v>115</v>
      </c>
      <c r="C746" s="4">
        <f>0.212937718373242 * 0.069713833162544%</f>
        <v>1.484470457268497E-4</v>
      </c>
      <c r="D746" t="s">
        <v>242</v>
      </c>
      <c r="E746" t="s">
        <v>329</v>
      </c>
      <c r="F746" t="s">
        <v>326</v>
      </c>
      <c r="G746" t="s">
        <v>245</v>
      </c>
    </row>
    <row r="747" spans="1:7" hidden="1" x14ac:dyDescent="0.2">
      <c r="A747" t="s">
        <v>25</v>
      </c>
      <c r="B747" t="s">
        <v>115</v>
      </c>
      <c r="C747" s="4">
        <f>0.755584923910716 * 0.069713833162544%</f>
        <v>5.267472132564515E-4</v>
      </c>
      <c r="D747" t="s">
        <v>242</v>
      </c>
      <c r="E747" t="s">
        <v>328</v>
      </c>
      <c r="F747" t="s">
        <v>326</v>
      </c>
      <c r="G747" t="s">
        <v>245</v>
      </c>
    </row>
    <row r="748" spans="1:7" hidden="1" x14ac:dyDescent="0.2">
      <c r="A748" t="s">
        <v>25</v>
      </c>
      <c r="B748" t="s">
        <v>115</v>
      </c>
      <c r="C748" s="4">
        <f>0.00154025450133466 * 0.069713833162544%</f>
        <v>1.0737704533390189E-6</v>
      </c>
      <c r="D748" t="s">
        <v>242</v>
      </c>
      <c r="E748" t="s">
        <v>290</v>
      </c>
      <c r="F748" t="s">
        <v>326</v>
      </c>
      <c r="G748" t="s">
        <v>245</v>
      </c>
    </row>
    <row r="749" spans="1:7" hidden="1" x14ac:dyDescent="0.2">
      <c r="A749" t="s">
        <v>25</v>
      </c>
      <c r="B749" t="s">
        <v>115</v>
      </c>
      <c r="C749" s="4">
        <f>4.63438553364394E-10 * 0.069713833162544%</f>
        <v>3.2308077990336104E-13</v>
      </c>
      <c r="D749" t="s">
        <v>256</v>
      </c>
      <c r="E749" t="s">
        <v>324</v>
      </c>
      <c r="F749" t="s">
        <v>326</v>
      </c>
      <c r="G749" t="s">
        <v>245</v>
      </c>
    </row>
    <row r="750" spans="1:7" hidden="1" x14ac:dyDescent="0.2">
      <c r="A750" t="s">
        <v>25</v>
      </c>
      <c r="B750" t="s">
        <v>115</v>
      </c>
      <c r="C750" s="4">
        <f>1.80533525994585E-09 * 0.069713833162544%</f>
        <v>1.2585684111432298E-12</v>
      </c>
      <c r="D750" t="s">
        <v>256</v>
      </c>
      <c r="E750" t="s">
        <v>325</v>
      </c>
      <c r="F750" t="s">
        <v>326</v>
      </c>
      <c r="G750" t="s">
        <v>245</v>
      </c>
    </row>
    <row r="751" spans="1:7" hidden="1" x14ac:dyDescent="0.2">
      <c r="A751" t="s">
        <v>25</v>
      </c>
      <c r="B751" t="s">
        <v>115</v>
      </c>
      <c r="C751" s="4">
        <f>0.000343246436607167 * 0.069713833162544%</f>
        <v>2.3929024815269772E-7</v>
      </c>
      <c r="D751" t="s">
        <v>256</v>
      </c>
      <c r="E751" t="s">
        <v>281</v>
      </c>
      <c r="F751" t="s">
        <v>326</v>
      </c>
      <c r="G751" t="s">
        <v>245</v>
      </c>
    </row>
    <row r="752" spans="1:7" hidden="1" x14ac:dyDescent="0.2">
      <c r="A752" t="s">
        <v>25</v>
      </c>
      <c r="B752" t="s">
        <v>143</v>
      </c>
      <c r="C752" s="4">
        <f>0.212937718373242 * 1.57249802732407%</f>
        <v>3.3484414208481143E-3</v>
      </c>
      <c r="D752" t="s">
        <v>242</v>
      </c>
      <c r="E752" t="s">
        <v>329</v>
      </c>
      <c r="F752" t="s">
        <v>326</v>
      </c>
      <c r="G752" t="s">
        <v>245</v>
      </c>
    </row>
    <row r="753" spans="1:8" hidden="1" x14ac:dyDescent="0.2">
      <c r="A753" t="s">
        <v>25</v>
      </c>
      <c r="B753" t="s">
        <v>143</v>
      </c>
      <c r="C753" s="4">
        <f>0.755584923910716 * 1.57249802732407%</f>
        <v>1.1881558023254085E-2</v>
      </c>
      <c r="D753" t="s">
        <v>242</v>
      </c>
      <c r="E753" t="s">
        <v>328</v>
      </c>
      <c r="F753" t="s">
        <v>326</v>
      </c>
      <c r="G753" t="s">
        <v>245</v>
      </c>
    </row>
    <row r="754" spans="1:8" hidden="1" x14ac:dyDescent="0.2">
      <c r="A754" t="s">
        <v>25</v>
      </c>
      <c r="B754" t="s">
        <v>143</v>
      </c>
      <c r="C754" s="4">
        <f>0.00154025450133466 * 1.57249802732407%</f>
        <v>2.422047164925772E-5</v>
      </c>
      <c r="D754" t="s">
        <v>242</v>
      </c>
      <c r="E754" t="s">
        <v>290</v>
      </c>
      <c r="F754" t="s">
        <v>326</v>
      </c>
      <c r="G754" t="s">
        <v>245</v>
      </c>
    </row>
    <row r="755" spans="1:8" hidden="1" x14ac:dyDescent="0.2">
      <c r="A755" t="s">
        <v>25</v>
      </c>
      <c r="B755" t="s">
        <v>143</v>
      </c>
      <c r="C755" s="4">
        <f>4.63438553364394E-10 * 1.57249802732407%</f>
        <v>7.2875621095143038E-12</v>
      </c>
      <c r="D755" t="s">
        <v>256</v>
      </c>
      <c r="E755" t="s">
        <v>324</v>
      </c>
      <c r="F755" t="s">
        <v>326</v>
      </c>
      <c r="G755" t="s">
        <v>245</v>
      </c>
    </row>
    <row r="756" spans="1:8" hidden="1" x14ac:dyDescent="0.2">
      <c r="A756" t="s">
        <v>25</v>
      </c>
      <c r="B756" t="s">
        <v>143</v>
      </c>
      <c r="C756" s="4">
        <f>1.80533525994585E-09 * 1.57249802732407%</f>
        <v>2.8388861349234362E-11</v>
      </c>
      <c r="D756" t="s">
        <v>256</v>
      </c>
      <c r="E756" t="s">
        <v>325</v>
      </c>
      <c r="F756" t="s">
        <v>326</v>
      </c>
      <c r="G756" t="s">
        <v>245</v>
      </c>
    </row>
    <row r="757" spans="1:8" hidden="1" x14ac:dyDescent="0.2">
      <c r="A757" t="s">
        <v>25</v>
      </c>
      <c r="B757" t="s">
        <v>143</v>
      </c>
      <c r="C757" s="4">
        <f>0.000343246436607167 * 1.57249802732407%</f>
        <v>5.3975434445078657E-6</v>
      </c>
      <c r="D757" t="s">
        <v>256</v>
      </c>
      <c r="E757" t="s">
        <v>281</v>
      </c>
      <c r="F757" t="s">
        <v>326</v>
      </c>
      <c r="G757" t="s">
        <v>245</v>
      </c>
    </row>
    <row r="758" spans="1:8" hidden="1" x14ac:dyDescent="0.2">
      <c r="A758" t="s">
        <v>25</v>
      </c>
      <c r="B758" t="s">
        <v>158</v>
      </c>
      <c r="C758" s="4">
        <f>0.212937718373242 * 0.0000820162743088753%</f>
        <v>1.7464358320805851E-7</v>
      </c>
      <c r="D758" t="s">
        <v>242</v>
      </c>
      <c r="E758" t="s">
        <v>329</v>
      </c>
      <c r="F758" t="s">
        <v>326</v>
      </c>
      <c r="G758" t="s">
        <v>245</v>
      </c>
    </row>
    <row r="759" spans="1:8" hidden="1" x14ac:dyDescent="0.2">
      <c r="A759" t="s">
        <v>25</v>
      </c>
      <c r="B759" t="s">
        <v>158</v>
      </c>
      <c r="C759" s="4">
        <f>0.755584923910716 * 0.0000820162743088753%</f>
        <v>6.1970260383111952E-7</v>
      </c>
      <c r="D759" t="s">
        <v>242</v>
      </c>
      <c r="E759" t="s">
        <v>328</v>
      </c>
      <c r="F759" t="s">
        <v>326</v>
      </c>
      <c r="G759" t="s">
        <v>245</v>
      </c>
    </row>
    <row r="760" spans="1:8" hidden="1" x14ac:dyDescent="0.2">
      <c r="A760" t="s">
        <v>25</v>
      </c>
      <c r="B760" t="s">
        <v>158</v>
      </c>
      <c r="C760" s="4">
        <f>0.00154025450133466 * 0.0000820162743088753%</f>
        <v>1.2632593568694341E-9</v>
      </c>
      <c r="D760" t="s">
        <v>242</v>
      </c>
      <c r="E760" t="s">
        <v>290</v>
      </c>
      <c r="F760" t="s">
        <v>326</v>
      </c>
      <c r="G760" t="s">
        <v>245</v>
      </c>
    </row>
    <row r="761" spans="1:8" hidden="1" x14ac:dyDescent="0.2">
      <c r="A761" t="s">
        <v>25</v>
      </c>
      <c r="B761" t="s">
        <v>158</v>
      </c>
      <c r="C761" s="4">
        <f>4.63438553364394E-10 * 0.0000820162743088753%</f>
        <v>3.8009503518042482E-16</v>
      </c>
      <c r="D761" t="s">
        <v>256</v>
      </c>
      <c r="E761" t="s">
        <v>324</v>
      </c>
      <c r="F761" t="s">
        <v>326</v>
      </c>
      <c r="G761" t="s">
        <v>245</v>
      </c>
    </row>
    <row r="762" spans="1:8" hidden="1" x14ac:dyDescent="0.2">
      <c r="A762" t="s">
        <v>25</v>
      </c>
      <c r="B762" t="s">
        <v>158</v>
      </c>
      <c r="C762" s="4">
        <f>1.80533525994585E-09 * 0.0000820162743088753%</f>
        <v>1.4806687189920352E-15</v>
      </c>
      <c r="D762" t="s">
        <v>256</v>
      </c>
      <c r="E762" t="s">
        <v>325</v>
      </c>
      <c r="F762" t="s">
        <v>326</v>
      </c>
      <c r="G762" t="s">
        <v>245</v>
      </c>
    </row>
    <row r="763" spans="1:8" hidden="1" x14ac:dyDescent="0.2">
      <c r="A763" t="s">
        <v>25</v>
      </c>
      <c r="B763" t="s">
        <v>158</v>
      </c>
      <c r="C763" s="4">
        <f>0.000343246436607167 * 0.0000820162743088753%</f>
        <v>2.8151793900317385E-10</v>
      </c>
      <c r="D763" t="s">
        <v>256</v>
      </c>
      <c r="E763" t="s">
        <v>281</v>
      </c>
      <c r="F763" t="s">
        <v>326</v>
      </c>
      <c r="G763" t="s">
        <v>245</v>
      </c>
    </row>
    <row r="764" spans="1:8" hidden="1" x14ac:dyDescent="0.2">
      <c r="A764" t="s">
        <v>26</v>
      </c>
      <c r="B764" t="s">
        <v>86</v>
      </c>
      <c r="C764" s="4">
        <v>0.93832366895097519</v>
      </c>
      <c r="D764" t="s">
        <v>242</v>
      </c>
      <c r="E764" t="s">
        <v>303</v>
      </c>
      <c r="F764" t="s">
        <v>305</v>
      </c>
      <c r="G764" t="s">
        <v>245</v>
      </c>
      <c r="H764" t="s">
        <v>304</v>
      </c>
    </row>
    <row r="765" spans="1:8" hidden="1" x14ac:dyDescent="0.2">
      <c r="A765" t="s">
        <v>26</v>
      </c>
      <c r="B765" t="s">
        <v>119</v>
      </c>
      <c r="C765" s="4">
        <v>7.9072219293621505E-3</v>
      </c>
      <c r="D765" t="s">
        <v>242</v>
      </c>
      <c r="E765" t="s">
        <v>303</v>
      </c>
      <c r="F765" t="s">
        <v>305</v>
      </c>
      <c r="G765" t="s">
        <v>245</v>
      </c>
    </row>
    <row r="766" spans="1:8" hidden="1" x14ac:dyDescent="0.2">
      <c r="A766" t="s">
        <v>26</v>
      </c>
      <c r="B766" t="s">
        <v>148</v>
      </c>
      <c r="C766" s="4">
        <v>6.8529256721138639E-3</v>
      </c>
      <c r="D766" t="s">
        <v>242</v>
      </c>
      <c r="E766" t="s">
        <v>303</v>
      </c>
      <c r="F766" t="s">
        <v>305</v>
      </c>
      <c r="G766" t="s">
        <v>245</v>
      </c>
    </row>
    <row r="767" spans="1:8" hidden="1" x14ac:dyDescent="0.2">
      <c r="A767" t="s">
        <v>26</v>
      </c>
      <c r="B767" t="s">
        <v>107</v>
      </c>
      <c r="C767" s="4">
        <v>3.4264628360569323E-2</v>
      </c>
      <c r="D767" t="s">
        <v>242</v>
      </c>
      <c r="E767" t="s">
        <v>303</v>
      </c>
      <c r="F767" t="s">
        <v>305</v>
      </c>
      <c r="G767" t="s">
        <v>245</v>
      </c>
    </row>
    <row r="768" spans="1:8" hidden="1" x14ac:dyDescent="0.2">
      <c r="A768" t="s">
        <v>26</v>
      </c>
      <c r="B768" t="s">
        <v>122</v>
      </c>
      <c r="C768" s="4">
        <v>1.2651555086979439E-2</v>
      </c>
      <c r="D768" t="s">
        <v>242</v>
      </c>
      <c r="E768" t="s">
        <v>303</v>
      </c>
      <c r="F768" t="s">
        <v>305</v>
      </c>
      <c r="G768" t="s">
        <v>245</v>
      </c>
    </row>
    <row r="769" spans="1:8" hidden="1" x14ac:dyDescent="0.2">
      <c r="A769" t="s">
        <v>27</v>
      </c>
      <c r="B769" t="s">
        <v>86</v>
      </c>
      <c r="C769" s="4">
        <v>0.91463414634146345</v>
      </c>
      <c r="D769" t="s">
        <v>242</v>
      </c>
      <c r="E769" t="s">
        <v>316</v>
      </c>
      <c r="F769" t="s">
        <v>608</v>
      </c>
      <c r="G769" t="s">
        <v>245</v>
      </c>
      <c r="H769" t="s">
        <v>514</v>
      </c>
    </row>
    <row r="770" spans="1:8" hidden="1" x14ac:dyDescent="0.2">
      <c r="A770" t="s">
        <v>27</v>
      </c>
      <c r="B770" t="s">
        <v>107</v>
      </c>
      <c r="C770" s="4">
        <v>5.4878048780487812E-2</v>
      </c>
      <c r="D770" t="s">
        <v>242</v>
      </c>
      <c r="E770" t="s">
        <v>316</v>
      </c>
      <c r="F770" t="s">
        <v>608</v>
      </c>
      <c r="G770" t="s">
        <v>245</v>
      </c>
    </row>
    <row r="771" spans="1:8" hidden="1" x14ac:dyDescent="0.2">
      <c r="A771" t="s">
        <v>27</v>
      </c>
      <c r="B771" t="s">
        <v>113</v>
      </c>
      <c r="C771" s="4">
        <v>3.048780487804878E-2</v>
      </c>
      <c r="D771" t="s">
        <v>242</v>
      </c>
      <c r="E771" t="s">
        <v>316</v>
      </c>
      <c r="F771" t="s">
        <v>608</v>
      </c>
      <c r="G771" t="s">
        <v>245</v>
      </c>
    </row>
    <row r="772" spans="1:8" hidden="1" x14ac:dyDescent="0.2">
      <c r="A772" t="s">
        <v>28</v>
      </c>
      <c r="B772" t="s">
        <v>183</v>
      </c>
      <c r="C772" s="4">
        <f>(0.0328453630665826/(0.0328453630665826+0.350336698877979+0.0822572721273277+0.0181224344560457+0.178561789731549)) * 0.0037512926731404%</f>
        <v>1.8608697467613896E-6</v>
      </c>
      <c r="D772" t="s">
        <v>242</v>
      </c>
      <c r="E772" t="s">
        <v>371</v>
      </c>
      <c r="F772" t="s">
        <v>364</v>
      </c>
      <c r="G772" s="4" t="s">
        <v>245</v>
      </c>
      <c r="H772" t="s">
        <v>372</v>
      </c>
    </row>
    <row r="773" spans="1:8" hidden="1" x14ac:dyDescent="0.2">
      <c r="A773" t="s">
        <v>28</v>
      </c>
      <c r="B773" t="s">
        <v>183</v>
      </c>
      <c r="C773" s="4">
        <f>(0.350336698877979/(0.0328453630665826+0.350336698877979+0.0822572721273277+0.0181224344560457+0.178561789731549)) * 0.0037512926731404%</f>
        <v>1.9848493158706201E-5</v>
      </c>
      <c r="D773" t="s">
        <v>256</v>
      </c>
      <c r="E773" t="s">
        <v>369</v>
      </c>
      <c r="F773" t="s">
        <v>364</v>
      </c>
      <c r="G773" s="4" t="s">
        <v>245</v>
      </c>
    </row>
    <row r="774" spans="1:8" hidden="1" x14ac:dyDescent="0.2">
      <c r="A774" t="s">
        <v>28</v>
      </c>
      <c r="B774" t="s">
        <v>183</v>
      </c>
      <c r="C774" s="4">
        <f>(0.0822572721273277/(0.0328453630665826+0.350336698877979+0.0822572721273277+0.0181224344560457+0.178561789731549)) * 0.0037512926731404%</f>
        <v>4.6603250767107199E-6</v>
      </c>
      <c r="D774" t="s">
        <v>256</v>
      </c>
      <c r="E774" t="s">
        <v>366</v>
      </c>
      <c r="F774" t="s">
        <v>364</v>
      </c>
      <c r="G774" s="4" t="s">
        <v>245</v>
      </c>
    </row>
    <row r="775" spans="1:8" hidden="1" x14ac:dyDescent="0.2">
      <c r="A775" t="s">
        <v>28</v>
      </c>
      <c r="B775" t="s">
        <v>183</v>
      </c>
      <c r="C775" s="4">
        <f>(0.0181224344560457/(0.0328453630665826+0.350336698877979+0.0822572721273277+0.0181224344560457+0.178561789731549)) * 0.0037512926731404%</f>
        <v>1.026735187812019E-6</v>
      </c>
      <c r="D775" t="s">
        <v>256</v>
      </c>
      <c r="E775" t="s">
        <v>281</v>
      </c>
      <c r="F775" t="s">
        <v>364</v>
      </c>
      <c r="G775" s="4" t="s">
        <v>245</v>
      </c>
    </row>
    <row r="776" spans="1:8" hidden="1" x14ac:dyDescent="0.2">
      <c r="A776" t="s">
        <v>28</v>
      </c>
      <c r="B776" t="s">
        <v>183</v>
      </c>
      <c r="C776" s="4">
        <f>(0.178561789731549/(0.0328453630665826+0.350336698877979+0.0822572721273277+0.0181224344560457+0.178561789731549)) * 0.0037512926731404%</f>
        <v>1.0116503561413675E-5</v>
      </c>
      <c r="D776" t="s">
        <v>256</v>
      </c>
      <c r="E776" t="s">
        <v>367</v>
      </c>
      <c r="F776" t="s">
        <v>364</v>
      </c>
      <c r="G776" s="4" t="s">
        <v>245</v>
      </c>
    </row>
    <row r="777" spans="1:8" hidden="1" x14ac:dyDescent="0.2">
      <c r="A777" t="s">
        <v>28</v>
      </c>
      <c r="B777" t="s">
        <v>184</v>
      </c>
      <c r="C777" s="4">
        <f>(0.0328453630665826/(0.0328453630665826+0.350336698877979+0.0822572721273277+0.0181224344560457+0.178561789731549)) * 0.000705629007648596%</f>
        <v>3.5003498451942532E-7</v>
      </c>
      <c r="D777" t="s">
        <v>242</v>
      </c>
      <c r="E777" t="s">
        <v>371</v>
      </c>
      <c r="F777" t="s">
        <v>364</v>
      </c>
      <c r="G777" s="4" t="s">
        <v>245</v>
      </c>
    </row>
    <row r="778" spans="1:8" hidden="1" x14ac:dyDescent="0.2">
      <c r="A778" t="s">
        <v>28</v>
      </c>
      <c r="B778" t="s">
        <v>184</v>
      </c>
      <c r="C778" s="4">
        <f>(0.350336698877979/(0.0328453630665826+0.350336698877979+0.0822572721273277+0.0181224344560457+0.178561789731549)) * 0.000705629007648596%</f>
        <v>3.7335590025219047E-6</v>
      </c>
      <c r="D778" t="s">
        <v>256</v>
      </c>
      <c r="E778" t="s">
        <v>369</v>
      </c>
      <c r="F778" t="s">
        <v>364</v>
      </c>
      <c r="G778" s="4" t="s">
        <v>245</v>
      </c>
    </row>
    <row r="779" spans="1:8" hidden="1" x14ac:dyDescent="0.2">
      <c r="A779" t="s">
        <v>28</v>
      </c>
      <c r="B779" t="s">
        <v>184</v>
      </c>
      <c r="C779" s="4">
        <f>(0.0822572721273277/(0.0328453630665826+0.350336698877979+0.0822572721273277+0.0181224344560457+0.178561789731549)) * 0.000705629007648596%</f>
        <v>8.7662063340056928E-7</v>
      </c>
      <c r="D779" t="s">
        <v>256</v>
      </c>
      <c r="E779" t="s">
        <v>366</v>
      </c>
      <c r="F779" t="s">
        <v>364</v>
      </c>
      <c r="G779" s="4" t="s">
        <v>245</v>
      </c>
    </row>
    <row r="780" spans="1:8" hidden="1" x14ac:dyDescent="0.2">
      <c r="A780" t="s">
        <v>28</v>
      </c>
      <c r="B780" t="s">
        <v>184</v>
      </c>
      <c r="C780" s="4">
        <f>(0.0181224344560457/(0.0328453630665826+0.350336698877979+0.0822572721273277+0.0181224344560457+0.178561789731549)) * 0.000705629007648596%</f>
        <v>1.9313186008682671E-7</v>
      </c>
      <c r="D780" t="s">
        <v>256</v>
      </c>
      <c r="E780" t="s">
        <v>281</v>
      </c>
      <c r="F780" t="s">
        <v>364</v>
      </c>
      <c r="G780" s="4" t="s">
        <v>245</v>
      </c>
    </row>
    <row r="781" spans="1:8" hidden="1" x14ac:dyDescent="0.2">
      <c r="A781" t="s">
        <v>28</v>
      </c>
      <c r="B781" t="s">
        <v>184</v>
      </c>
      <c r="C781" s="4">
        <f>(0.178561789731549/(0.0328453630665826+0.350336698877979+0.0822572721273277+0.0181224344560457+0.178561789731549)) * 0.000705629007648596%</f>
        <v>1.9029435959572344E-6</v>
      </c>
      <c r="D781" t="s">
        <v>256</v>
      </c>
      <c r="E781" t="s">
        <v>367</v>
      </c>
      <c r="F781" t="s">
        <v>364</v>
      </c>
      <c r="G781" s="4" t="s">
        <v>245</v>
      </c>
    </row>
    <row r="782" spans="1:8" hidden="1" x14ac:dyDescent="0.2">
      <c r="A782" t="s">
        <v>28</v>
      </c>
      <c r="B782" t="s">
        <v>124</v>
      </c>
      <c r="C782" s="4">
        <f>(0.0328453630665826/(0.0328453630665826+0.350336698877979+0.0822572721273277+0.0181224344560457+0.178561789731549)) * 1.47077209262605%</f>
        <v>7.2959257781866004E-4</v>
      </c>
      <c r="D782" t="s">
        <v>242</v>
      </c>
      <c r="E782" t="s">
        <v>371</v>
      </c>
      <c r="F782" t="s">
        <v>364</v>
      </c>
      <c r="G782" s="4" t="s">
        <v>245</v>
      </c>
    </row>
    <row r="783" spans="1:8" hidden="1" x14ac:dyDescent="0.2">
      <c r="A783" t="s">
        <v>28</v>
      </c>
      <c r="B783" t="s">
        <v>124</v>
      </c>
      <c r="C783" s="4">
        <f>(0.350336698877979/(0.0328453630665826+0.350336698877979+0.0822572721273277+0.0181224344560457+0.178561789731549)) * 1.47077209262605%</f>
        <v>7.7820133916838632E-3</v>
      </c>
      <c r="D783" t="s">
        <v>256</v>
      </c>
      <c r="E783" t="s">
        <v>369</v>
      </c>
      <c r="F783" t="s">
        <v>364</v>
      </c>
      <c r="G783" s="4" t="s">
        <v>245</v>
      </c>
    </row>
    <row r="784" spans="1:8" hidden="1" x14ac:dyDescent="0.2">
      <c r="A784" t="s">
        <v>28</v>
      </c>
      <c r="B784" t="s">
        <v>124</v>
      </c>
      <c r="C784" s="4">
        <f>(0.0822572721273277/(0.0328453630665826+0.350336698877979+0.0822572721273277+0.0181224344560457+0.178561789731549)) * 1.47077209262605%</f>
        <v>1.827177099368633E-3</v>
      </c>
      <c r="D784" t="s">
        <v>256</v>
      </c>
      <c r="E784" t="s">
        <v>366</v>
      </c>
      <c r="F784" t="s">
        <v>364</v>
      </c>
      <c r="G784" s="4" t="s">
        <v>245</v>
      </c>
    </row>
    <row r="785" spans="1:7" hidden="1" x14ac:dyDescent="0.2">
      <c r="A785" t="s">
        <v>28</v>
      </c>
      <c r="B785" t="s">
        <v>124</v>
      </c>
      <c r="C785" s="4">
        <f>(0.0181224344560457/(0.0328453630665826+0.350336698877979+0.0822572721273277+0.0181224344560457+0.178561789731549)) * 1.47077209262605%</f>
        <v>4.0255282440730141E-4</v>
      </c>
      <c r="D785" t="s">
        <v>256</v>
      </c>
      <c r="E785" t="s">
        <v>281</v>
      </c>
      <c r="F785" t="s">
        <v>364</v>
      </c>
      <c r="G785" s="4" t="s">
        <v>245</v>
      </c>
    </row>
    <row r="786" spans="1:7" hidden="1" x14ac:dyDescent="0.2">
      <c r="A786" t="s">
        <v>28</v>
      </c>
      <c r="B786" t="s">
        <v>124</v>
      </c>
      <c r="C786" s="4">
        <f>(0.178561789731549/(0.0328453630665826+0.350336698877979+0.0822572721273277+0.0181224344560457+0.178561789731549)) * 1.47077209262605%</f>
        <v>3.9663850329820418E-3</v>
      </c>
      <c r="D786" t="s">
        <v>256</v>
      </c>
      <c r="E786" t="s">
        <v>367</v>
      </c>
      <c r="F786" t="s">
        <v>364</v>
      </c>
      <c r="G786" s="4" t="s">
        <v>245</v>
      </c>
    </row>
    <row r="787" spans="1:7" hidden="1" x14ac:dyDescent="0.2">
      <c r="A787" t="s">
        <v>28</v>
      </c>
      <c r="B787" t="s">
        <v>164</v>
      </c>
      <c r="C787" s="4">
        <f>(0.0328453630665826/(0.0328453630665826+0.350336698877979+0.0822572721273277+0.0181224344560457+0.178561789731549)) * 0.146571810024648%</f>
        <v>7.2708548963893897E-5</v>
      </c>
      <c r="D787" t="s">
        <v>242</v>
      </c>
      <c r="E787" t="s">
        <v>371</v>
      </c>
      <c r="F787" t="s">
        <v>364</v>
      </c>
      <c r="G787" s="4" t="s">
        <v>245</v>
      </c>
    </row>
    <row r="788" spans="1:7" hidden="1" x14ac:dyDescent="0.2">
      <c r="A788" t="s">
        <v>28</v>
      </c>
      <c r="B788" t="s">
        <v>164</v>
      </c>
      <c r="C788" s="4">
        <f>(0.350336698877979/(0.0328453630665826+0.350336698877979+0.0822572721273277+0.0181224344560457+0.178561789731549)) * 0.146571810024648%</f>
        <v>7.7552721742128012E-4</v>
      </c>
      <c r="D788" t="s">
        <v>256</v>
      </c>
      <c r="E788" t="s">
        <v>369</v>
      </c>
      <c r="F788" t="s">
        <v>364</v>
      </c>
      <c r="G788" s="4" t="s">
        <v>245</v>
      </c>
    </row>
    <row r="789" spans="1:7" hidden="1" x14ac:dyDescent="0.2">
      <c r="A789" t="s">
        <v>28</v>
      </c>
      <c r="B789" t="s">
        <v>164</v>
      </c>
      <c r="C789" s="4">
        <f>(0.0822572721273277/(0.0328453630665826+0.350336698877979+0.0822572721273277+0.0181224344560457+0.178561789731549)) * 0.146571810024648%</f>
        <v>1.8208983977379502E-4</v>
      </c>
      <c r="D789" t="s">
        <v>256</v>
      </c>
      <c r="E789" t="s">
        <v>366</v>
      </c>
      <c r="F789" t="s">
        <v>364</v>
      </c>
      <c r="G789" s="4" t="s">
        <v>245</v>
      </c>
    </row>
    <row r="790" spans="1:7" hidden="1" x14ac:dyDescent="0.2">
      <c r="A790" t="s">
        <v>28</v>
      </c>
      <c r="B790" t="s">
        <v>164</v>
      </c>
      <c r="C790" s="4">
        <f>(0.0181224344560457/(0.0328453630665826+0.350336698877979+0.0822572721273277+0.0181224344560457+0.178561789731549)) * 0.146571810024648%</f>
        <v>4.0116953809317484E-5</v>
      </c>
      <c r="D790" t="s">
        <v>256</v>
      </c>
      <c r="E790" t="s">
        <v>281</v>
      </c>
      <c r="F790" t="s">
        <v>364</v>
      </c>
      <c r="G790" s="4" t="s">
        <v>245</v>
      </c>
    </row>
    <row r="791" spans="1:7" hidden="1" x14ac:dyDescent="0.2">
      <c r="A791" t="s">
        <v>28</v>
      </c>
      <c r="B791" t="s">
        <v>164</v>
      </c>
      <c r="C791" s="4">
        <f>(0.178561789731549/(0.0328453630665826+0.350336698877979+0.0822572721273277+0.0181224344560457+0.178561789731549)) * 0.146571810024648%</f>
        <v>3.9527554027819344E-4</v>
      </c>
      <c r="D791" t="s">
        <v>256</v>
      </c>
      <c r="E791" t="s">
        <v>367</v>
      </c>
      <c r="F791" t="s">
        <v>364</v>
      </c>
      <c r="G791" s="4" t="s">
        <v>245</v>
      </c>
    </row>
    <row r="792" spans="1:7" hidden="1" x14ac:dyDescent="0.2">
      <c r="A792" t="s">
        <v>28</v>
      </c>
      <c r="B792" t="s">
        <v>83</v>
      </c>
      <c r="C792" s="4">
        <v>9.4474436357721583E-2</v>
      </c>
      <c r="D792" t="s">
        <v>308</v>
      </c>
      <c r="E792" t="s">
        <v>363</v>
      </c>
      <c r="F792" t="s">
        <v>364</v>
      </c>
      <c r="G792" s="4" t="s">
        <v>245</v>
      </c>
    </row>
    <row r="793" spans="1:7" hidden="1" x14ac:dyDescent="0.2">
      <c r="A793" t="s">
        <v>28</v>
      </c>
      <c r="B793" t="s">
        <v>125</v>
      </c>
      <c r="C793" s="4">
        <f>(0.0328453630665826/(0.0328453630665826+0.350336698877979+0.0822572721273277+0.0181224344560457+0.178561789731549)) * 0.107671749346585%</f>
        <v>5.3411748535259235E-5</v>
      </c>
      <c r="D793" t="s">
        <v>242</v>
      </c>
      <c r="E793" t="s">
        <v>371</v>
      </c>
      <c r="F793" t="s">
        <v>364</v>
      </c>
      <c r="G793" s="4" t="s">
        <v>245</v>
      </c>
    </row>
    <row r="794" spans="1:7" hidden="1" x14ac:dyDescent="0.2">
      <c r="A794" t="s">
        <v>28</v>
      </c>
      <c r="B794" t="s">
        <v>125</v>
      </c>
      <c r="C794" s="4">
        <f>(0.350336698877979/(0.0328453630665826+0.350336698877979+0.0822572721273277+0.0181224344560457+0.178561789731549)) * 0.107671749346585%</f>
        <v>5.6970281087199905E-4</v>
      </c>
      <c r="D794" t="s">
        <v>256</v>
      </c>
      <c r="E794" t="s">
        <v>369</v>
      </c>
      <c r="F794" t="s">
        <v>364</v>
      </c>
      <c r="G794" s="4" t="s">
        <v>245</v>
      </c>
    </row>
    <row r="795" spans="1:7" hidden="1" x14ac:dyDescent="0.2">
      <c r="A795" t="s">
        <v>28</v>
      </c>
      <c r="B795" t="s">
        <v>125</v>
      </c>
      <c r="C795" s="4">
        <f>(0.0822572721273277/(0.0328453630665826+0.350336698877979+0.0822572721273277+0.0181224344560457+0.178561789731549)) * 0.107671749346585%</f>
        <v>1.3376331767607212E-4</v>
      </c>
      <c r="D795" t="s">
        <v>256</v>
      </c>
      <c r="E795" t="s">
        <v>366</v>
      </c>
      <c r="F795" t="s">
        <v>364</v>
      </c>
      <c r="G795" s="4" t="s">
        <v>245</v>
      </c>
    </row>
    <row r="796" spans="1:7" hidden="1" x14ac:dyDescent="0.2">
      <c r="A796" t="s">
        <v>28</v>
      </c>
      <c r="B796" t="s">
        <v>125</v>
      </c>
      <c r="C796" s="4">
        <f>(0.0181224344560457/(0.0328453630665826+0.350336698877979+0.0822572721273277+0.0181224344560457+0.178561789731549)) * 0.107671749346585%</f>
        <v>2.9469941009659265E-5</v>
      </c>
      <c r="D796" t="s">
        <v>256</v>
      </c>
      <c r="E796" t="s">
        <v>281</v>
      </c>
      <c r="F796" t="s">
        <v>364</v>
      </c>
      <c r="G796" s="4" t="s">
        <v>245</v>
      </c>
    </row>
    <row r="797" spans="1:7" hidden="1" x14ac:dyDescent="0.2">
      <c r="A797" t="s">
        <v>28</v>
      </c>
      <c r="B797" t="s">
        <v>125</v>
      </c>
      <c r="C797" s="4">
        <f>(0.178561789731549/(0.0328453630665826+0.350336698877979+0.0822572721273277+0.0181224344560457+0.178561789731549)) * 0.107671749346585%</f>
        <v>2.903696753728604E-4</v>
      </c>
      <c r="D797" t="s">
        <v>256</v>
      </c>
      <c r="E797" t="s">
        <v>367</v>
      </c>
      <c r="F797" t="s">
        <v>364</v>
      </c>
      <c r="G797" s="4" t="s">
        <v>245</v>
      </c>
    </row>
    <row r="798" spans="1:7" hidden="1" x14ac:dyDescent="0.2">
      <c r="A798" t="s">
        <v>28</v>
      </c>
      <c r="B798" t="s">
        <v>185</v>
      </c>
      <c r="C798" s="4">
        <f>(0.0328453630665826/(0.0328453630665826+0.350336698877979+0.0822572721273277+0.0181224344560457+0.178561789731549)) * 0.000150775428984743%</f>
        <v>7.4793800110988451E-8</v>
      </c>
      <c r="D798" t="s">
        <v>242</v>
      </c>
      <c r="E798" t="s">
        <v>371</v>
      </c>
      <c r="F798" t="s">
        <v>364</v>
      </c>
      <c r="G798" s="4" t="s">
        <v>245</v>
      </c>
    </row>
    <row r="799" spans="1:7" hidden="1" x14ac:dyDescent="0.2">
      <c r="A799" t="s">
        <v>28</v>
      </c>
      <c r="B799" t="s">
        <v>185</v>
      </c>
      <c r="C799" s="4">
        <f>(0.350336698877979/(0.0328453630665826+0.350336698877979+0.0822572721273277+0.0181224344560457+0.178561789731549)) * 0.000150775428984743%</f>
        <v>7.9776901763288709E-7</v>
      </c>
      <c r="D799" t="s">
        <v>256</v>
      </c>
      <c r="E799" t="s">
        <v>369</v>
      </c>
      <c r="F799" t="s">
        <v>364</v>
      </c>
      <c r="G799" s="4" t="s">
        <v>245</v>
      </c>
    </row>
    <row r="800" spans="1:7" hidden="1" x14ac:dyDescent="0.2">
      <c r="A800" t="s">
        <v>28</v>
      </c>
      <c r="B800" t="s">
        <v>185</v>
      </c>
      <c r="C800" s="4">
        <f>(0.0822572721273277/(0.0328453630665826+0.350336698877979+0.0822572721273277+0.0181224344560457+0.178561789731549)) * 0.000150775428984743%</f>
        <v>1.8731210115396812E-7</v>
      </c>
      <c r="D800" t="s">
        <v>256</v>
      </c>
      <c r="E800" t="s">
        <v>366</v>
      </c>
      <c r="F800" t="s">
        <v>364</v>
      </c>
      <c r="G800" s="4" t="s">
        <v>245</v>
      </c>
    </row>
    <row r="801" spans="1:7" hidden="1" x14ac:dyDescent="0.2">
      <c r="A801" t="s">
        <v>28</v>
      </c>
      <c r="B801" t="s">
        <v>185</v>
      </c>
      <c r="C801" s="4">
        <f>(0.0181224344560457/(0.0328453630665826+0.350336698877979+0.0822572721273277+0.0181224344560457+0.178561789731549)) * 0.000150775428984743%</f>
        <v>4.1267491471544244E-8</v>
      </c>
      <c r="D801" t="s">
        <v>256</v>
      </c>
      <c r="E801" t="s">
        <v>281</v>
      </c>
      <c r="F801" t="s">
        <v>364</v>
      </c>
      <c r="G801" s="4" t="s">
        <v>245</v>
      </c>
    </row>
    <row r="802" spans="1:7" hidden="1" x14ac:dyDescent="0.2">
      <c r="A802" t="s">
        <v>28</v>
      </c>
      <c r="B802" t="s">
        <v>185</v>
      </c>
      <c r="C802" s="4">
        <f>(0.178561789731549/(0.0328453630665826+0.350336698877979+0.0822572721273277+0.0181224344560457+0.178561789731549)) * 0.000150775428984743%</f>
        <v>4.0661187947804226E-7</v>
      </c>
      <c r="D802" t="s">
        <v>256</v>
      </c>
      <c r="E802" t="s">
        <v>367</v>
      </c>
      <c r="F802" t="s">
        <v>364</v>
      </c>
      <c r="G802" s="4" t="s">
        <v>245</v>
      </c>
    </row>
    <row r="803" spans="1:7" hidden="1" x14ac:dyDescent="0.2">
      <c r="A803" t="s">
        <v>28</v>
      </c>
      <c r="B803" t="s">
        <v>144</v>
      </c>
      <c r="C803" s="4">
        <f>(0.0328453630665826/(0.0328453630665826+0.350336698877979+0.0822572721273277+0.0181224344560457+0.178561789731549)) * 1.03271519227094%</f>
        <v>5.122896627282002E-4</v>
      </c>
      <c r="D803" t="s">
        <v>242</v>
      </c>
      <c r="E803" t="s">
        <v>371</v>
      </c>
      <c r="F803" t="s">
        <v>364</v>
      </c>
      <c r="G803" s="4" t="s">
        <v>245</v>
      </c>
    </row>
    <row r="804" spans="1:7" hidden="1" x14ac:dyDescent="0.2">
      <c r="A804" t="s">
        <v>28</v>
      </c>
      <c r="B804" t="s">
        <v>144</v>
      </c>
      <c r="C804" s="4">
        <f>(0.350336698877979/(0.0328453630665826+0.350336698877979+0.0822572721273277+0.0181224344560457+0.178561789731549)) * 1.03271519227094%</f>
        <v>5.4642071986139955E-3</v>
      </c>
      <c r="D804" t="s">
        <v>256</v>
      </c>
      <c r="E804" t="s">
        <v>369</v>
      </c>
      <c r="F804" t="s">
        <v>364</v>
      </c>
      <c r="G804" s="4" t="s">
        <v>245</v>
      </c>
    </row>
    <row r="805" spans="1:7" hidden="1" x14ac:dyDescent="0.2">
      <c r="A805" t="s">
        <v>28</v>
      </c>
      <c r="B805" t="s">
        <v>144</v>
      </c>
      <c r="C805" s="4">
        <f>(0.0822572721273277/(0.0328453630665826+0.350336698877979+0.0822572721273277+0.0181224344560457+0.178561789731549)) * 1.03271519227094%</f>
        <v>1.2829680131599441E-3</v>
      </c>
      <c r="D805" t="s">
        <v>256</v>
      </c>
      <c r="E805" t="s">
        <v>366</v>
      </c>
      <c r="F805" t="s">
        <v>364</v>
      </c>
      <c r="G805" s="4" t="s">
        <v>245</v>
      </c>
    </row>
    <row r="806" spans="1:7" hidden="1" x14ac:dyDescent="0.2">
      <c r="A806" t="s">
        <v>28</v>
      </c>
      <c r="B806" t="s">
        <v>144</v>
      </c>
      <c r="C806" s="4">
        <f>(0.0181224344560457/(0.0328453630665826+0.350336698877979+0.0822572721273277+0.0181224344560457+0.178561789731549)) * 1.03271519227094%</f>
        <v>2.8265590538553649E-4</v>
      </c>
      <c r="D806" t="s">
        <v>256</v>
      </c>
      <c r="E806" t="s">
        <v>281</v>
      </c>
      <c r="F806" t="s">
        <v>364</v>
      </c>
      <c r="G806" s="4" t="s">
        <v>245</v>
      </c>
    </row>
    <row r="807" spans="1:7" hidden="1" x14ac:dyDescent="0.2">
      <c r="A807" t="s">
        <v>28</v>
      </c>
      <c r="B807" t="s">
        <v>144</v>
      </c>
      <c r="C807" s="4">
        <f>(0.178561789731549/(0.0328453630665826+0.350336698877979+0.0822572721273277+0.0181224344560457+0.178561789731549)) * 1.03271519227094%</f>
        <v>2.7850311428217257E-3</v>
      </c>
      <c r="D807" t="s">
        <v>256</v>
      </c>
      <c r="E807" t="s">
        <v>367</v>
      </c>
      <c r="F807" t="s">
        <v>364</v>
      </c>
      <c r="G807" s="4" t="s">
        <v>245</v>
      </c>
    </row>
    <row r="808" spans="1:7" hidden="1" x14ac:dyDescent="0.2">
      <c r="A808" t="s">
        <v>28</v>
      </c>
      <c r="B808" t="s">
        <v>165</v>
      </c>
      <c r="C808" s="4">
        <f>(0.0328453630665826/(0.0328453630665826+0.350336698877979+0.0822572721273277+0.0181224344560457+0.178561789731549)) * 0.0269043675480375%</f>
        <v>1.3346205691804757E-5</v>
      </c>
      <c r="D808" t="s">
        <v>242</v>
      </c>
      <c r="E808" t="s">
        <v>371</v>
      </c>
      <c r="F808" t="s">
        <v>364</v>
      </c>
      <c r="G808" s="4" t="s">
        <v>245</v>
      </c>
    </row>
    <row r="809" spans="1:7" hidden="1" x14ac:dyDescent="0.2">
      <c r="A809" t="s">
        <v>28</v>
      </c>
      <c r="B809" t="s">
        <v>165</v>
      </c>
      <c r="C809" s="4">
        <f>(0.350336698877979/(0.0328453630665826+0.350336698877979+0.0822572721273277+0.0181224344560457+0.178561789731549)) * 0.0269043675480375%</f>
        <v>1.4235390350641214E-4</v>
      </c>
      <c r="D809" t="s">
        <v>256</v>
      </c>
      <c r="E809" t="s">
        <v>369</v>
      </c>
      <c r="F809" t="s">
        <v>364</v>
      </c>
      <c r="G809" s="4" t="s">
        <v>245</v>
      </c>
    </row>
    <row r="810" spans="1:7" hidden="1" x14ac:dyDescent="0.2">
      <c r="A810" t="s">
        <v>28</v>
      </c>
      <c r="B810" t="s">
        <v>165</v>
      </c>
      <c r="C810" s="4">
        <f>(0.0822572721273277/(0.0328453630665826+0.350336698877979+0.0822572721273277+0.0181224344560457+0.178561789731549)) * 0.0269043675480375%</f>
        <v>3.3423971329914018E-5</v>
      </c>
      <c r="D810" t="s">
        <v>256</v>
      </c>
      <c r="E810" t="s">
        <v>366</v>
      </c>
      <c r="F810" t="s">
        <v>364</v>
      </c>
      <c r="G810" s="4" t="s">
        <v>245</v>
      </c>
    </row>
    <row r="811" spans="1:7" hidden="1" x14ac:dyDescent="0.2">
      <c r="A811" t="s">
        <v>28</v>
      </c>
      <c r="B811" t="s">
        <v>165</v>
      </c>
      <c r="C811" s="4">
        <f>(0.0181224344560457/(0.0328453630665826+0.350336698877979+0.0822572721273277+0.0181224344560457+0.178561789731549)) * 0.0269043675480375%</f>
        <v>7.3637711781823424E-6</v>
      </c>
      <c r="D811" t="s">
        <v>256</v>
      </c>
      <c r="E811" t="s">
        <v>281</v>
      </c>
      <c r="F811" t="s">
        <v>364</v>
      </c>
      <c r="G811" s="4" t="s">
        <v>245</v>
      </c>
    </row>
    <row r="812" spans="1:7" hidden="1" x14ac:dyDescent="0.2">
      <c r="A812" t="s">
        <v>28</v>
      </c>
      <c r="B812" t="s">
        <v>165</v>
      </c>
      <c r="C812" s="4">
        <f>(0.178561789731549/(0.0328453630665826+0.350336698877979+0.0822572721273277+0.0181224344560457+0.178561789731549)) * 0.0269043675480375%</f>
        <v>7.255582377406174E-5</v>
      </c>
      <c r="D812" t="s">
        <v>256</v>
      </c>
      <c r="E812" t="s">
        <v>367</v>
      </c>
      <c r="F812" t="s">
        <v>364</v>
      </c>
      <c r="G812" s="4" t="s">
        <v>245</v>
      </c>
    </row>
    <row r="813" spans="1:7" hidden="1" x14ac:dyDescent="0.2">
      <c r="A813" t="s">
        <v>28</v>
      </c>
      <c r="B813" t="s">
        <v>85</v>
      </c>
      <c r="C813" s="4">
        <f>(0.0328453630665826/(0.0328453630665826+0.350336698877979+0.0822572721273277+0.0181224344560457+0.178561789731549)) * 2.48477906966856%</f>
        <v>1.2326018258290872E-3</v>
      </c>
      <c r="D813" t="s">
        <v>242</v>
      </c>
      <c r="E813" t="s">
        <v>371</v>
      </c>
      <c r="F813" t="s">
        <v>364</v>
      </c>
      <c r="G813" s="4" t="s">
        <v>245</v>
      </c>
    </row>
    <row r="814" spans="1:7" hidden="1" x14ac:dyDescent="0.2">
      <c r="A814" t="s">
        <v>28</v>
      </c>
      <c r="B814" t="s">
        <v>85</v>
      </c>
      <c r="C814" s="4">
        <f>(0.350336698877979/(0.0328453630665826+0.350336698877979+0.0822572721273277+0.0181224344560457+0.178561789731549)) * 2.48477906966856%</f>
        <v>1.3147233410589954E-2</v>
      </c>
      <c r="D814" t="s">
        <v>256</v>
      </c>
      <c r="E814" t="s">
        <v>369</v>
      </c>
      <c r="F814" t="s">
        <v>364</v>
      </c>
      <c r="G814" s="4" t="s">
        <v>245</v>
      </c>
    </row>
    <row r="815" spans="1:7" hidden="1" x14ac:dyDescent="0.2">
      <c r="A815" t="s">
        <v>28</v>
      </c>
      <c r="B815" t="s">
        <v>85</v>
      </c>
      <c r="C815" s="4">
        <f>(0.0822572721273277/(0.0328453630665826+0.350336698877979+0.0822572721273277+0.0181224344560457+0.178561789731549)) * 2.48477906966856%</f>
        <v>3.0869034270173887E-3</v>
      </c>
      <c r="D815" t="s">
        <v>256</v>
      </c>
      <c r="E815" t="s">
        <v>366</v>
      </c>
      <c r="F815" t="s">
        <v>364</v>
      </c>
      <c r="G815" s="4" t="s">
        <v>245</v>
      </c>
    </row>
    <row r="816" spans="1:7" hidden="1" x14ac:dyDescent="0.2">
      <c r="A816" t="s">
        <v>28</v>
      </c>
      <c r="B816" t="s">
        <v>85</v>
      </c>
      <c r="C816" s="4">
        <f>(0.0181224344560457/(0.0328453630665826+0.350336698877979+0.0822572721273277+0.0181224344560457+0.178561789731549)) * 2.48477906966856%</f>
        <v>6.800882594510478E-4</v>
      </c>
      <c r="D816" t="s">
        <v>256</v>
      </c>
      <c r="E816" t="s">
        <v>281</v>
      </c>
      <c r="F816" t="s">
        <v>364</v>
      </c>
      <c r="G816" s="4" t="s">
        <v>245</v>
      </c>
    </row>
    <row r="817" spans="1:7" hidden="1" x14ac:dyDescent="0.2">
      <c r="A817" t="s">
        <v>28</v>
      </c>
      <c r="B817" t="s">
        <v>85</v>
      </c>
      <c r="C817" s="4">
        <f>(0.178561789731549/(0.0328453630665826+0.350336698877979+0.0822572721273277+0.0181224344560457+0.178561789731549)) * 2.48477906966856%</f>
        <v>6.7009637737981236E-3</v>
      </c>
      <c r="D817" t="s">
        <v>256</v>
      </c>
      <c r="E817" t="s">
        <v>367</v>
      </c>
      <c r="F817" t="s">
        <v>364</v>
      </c>
      <c r="G817" s="4" t="s">
        <v>245</v>
      </c>
    </row>
    <row r="818" spans="1:7" hidden="1" x14ac:dyDescent="0.2">
      <c r="A818" t="s">
        <v>28</v>
      </c>
      <c r="B818" t="s">
        <v>147</v>
      </c>
      <c r="C818" s="4">
        <f>(0.0328453630665826/(0.0328453630665826+0.350336698877979+0.0822572721273277+0.0181224344560457+0.178561789731549)) * 0.254002318684857%</f>
        <v>1.2600062741897536E-4</v>
      </c>
      <c r="D818" t="s">
        <v>242</v>
      </c>
      <c r="E818" t="s">
        <v>371</v>
      </c>
      <c r="F818" t="s">
        <v>364</v>
      </c>
      <c r="G818" s="4" t="s">
        <v>245</v>
      </c>
    </row>
    <row r="819" spans="1:7" hidden="1" x14ac:dyDescent="0.2">
      <c r="A819" t="s">
        <v>28</v>
      </c>
      <c r="B819" t="s">
        <v>147</v>
      </c>
      <c r="C819" s="4">
        <f>(0.350336698877979/(0.0328453630665826+0.350336698877979+0.0822572721273277+0.0181224344560457+0.178561789731549)) * 0.254002318684857%</f>
        <v>1.3439535978650645E-3</v>
      </c>
      <c r="D819" t="s">
        <v>256</v>
      </c>
      <c r="E819" t="s">
        <v>369</v>
      </c>
      <c r="F819" t="s">
        <v>364</v>
      </c>
      <c r="G819" s="4" t="s">
        <v>245</v>
      </c>
    </row>
    <row r="820" spans="1:7" hidden="1" x14ac:dyDescent="0.2">
      <c r="A820" t="s">
        <v>28</v>
      </c>
      <c r="B820" t="s">
        <v>147</v>
      </c>
      <c r="C820" s="4">
        <f>(0.0822572721273277/(0.0328453630665826+0.350336698877979+0.0822572721273277+0.0181224344560457+0.178561789731549)) * 0.254002318684857%</f>
        <v>3.1555345808802031E-4</v>
      </c>
      <c r="D820" t="s">
        <v>256</v>
      </c>
      <c r="E820" t="s">
        <v>366</v>
      </c>
      <c r="F820" t="s">
        <v>364</v>
      </c>
      <c r="G820" s="4" t="s">
        <v>245</v>
      </c>
    </row>
    <row r="821" spans="1:7" hidden="1" x14ac:dyDescent="0.2">
      <c r="A821" t="s">
        <v>28</v>
      </c>
      <c r="B821" t="s">
        <v>147</v>
      </c>
      <c r="C821" s="4">
        <f>(0.0181224344560457/(0.0328453630665826+0.350336698877979+0.0822572721273277+0.0181224344560457+0.178561789731549)) * 0.254002318684857%</f>
        <v>6.9520866832622173E-5</v>
      </c>
      <c r="D821" t="s">
        <v>256</v>
      </c>
      <c r="E821" t="s">
        <v>281</v>
      </c>
      <c r="F821" t="s">
        <v>364</v>
      </c>
      <c r="G821" s="4" t="s">
        <v>245</v>
      </c>
    </row>
    <row r="822" spans="1:7" hidden="1" x14ac:dyDescent="0.2">
      <c r="A822" t="s">
        <v>28</v>
      </c>
      <c r="B822" t="s">
        <v>147</v>
      </c>
      <c r="C822" s="4">
        <f>(0.178561789731549/(0.0328453630665826+0.350336698877979+0.0822572721273277+0.0181224344560457+0.178561789731549)) * 0.254002318684857%</f>
        <v>6.8499463664388797E-4</v>
      </c>
      <c r="D822" t="s">
        <v>256</v>
      </c>
      <c r="E822" t="s">
        <v>367</v>
      </c>
      <c r="F822" t="s">
        <v>364</v>
      </c>
      <c r="G822" s="4" t="s">
        <v>245</v>
      </c>
    </row>
    <row r="823" spans="1:7" hidden="1" x14ac:dyDescent="0.2">
      <c r="A823" t="s">
        <v>28</v>
      </c>
      <c r="B823" t="s">
        <v>186</v>
      </c>
      <c r="C823" s="4">
        <f>(0.0328453630665826/(0.0328453630665826+0.350336698877979+0.0822572721273277+0.0181224344560457+0.178561789731549)) * 1.68448721668618%</f>
        <v>8.3560830184797744E-4</v>
      </c>
      <c r="D823" t="s">
        <v>242</v>
      </c>
      <c r="E823" t="s">
        <v>371</v>
      </c>
      <c r="F823" t="s">
        <v>364</v>
      </c>
      <c r="G823" s="4" t="s">
        <v>245</v>
      </c>
    </row>
    <row r="824" spans="1:7" hidden="1" x14ac:dyDescent="0.2">
      <c r="A824" t="s">
        <v>28</v>
      </c>
      <c r="B824" t="s">
        <v>186</v>
      </c>
      <c r="C824" s="4">
        <f>(0.350336698877979/(0.0328453630665826+0.350336698877979+0.0822572721273277+0.0181224344560457+0.178561789731549)) * 1.68448721668618%</f>
        <v>8.9128031080374006E-3</v>
      </c>
      <c r="D824" t="s">
        <v>256</v>
      </c>
      <c r="E824" t="s">
        <v>369</v>
      </c>
      <c r="F824" t="s">
        <v>364</v>
      </c>
      <c r="G824" s="4" t="s">
        <v>245</v>
      </c>
    </row>
    <row r="825" spans="1:7" hidden="1" x14ac:dyDescent="0.2">
      <c r="A825" t="s">
        <v>28</v>
      </c>
      <c r="B825" t="s">
        <v>186</v>
      </c>
      <c r="C825" s="4">
        <f>(0.0822572721273277/(0.0328453630665826+0.350336698877979+0.0822572721273277+0.0181224344560457+0.178561789731549)) * 1.68448721668618%</f>
        <v>2.0926807640283085E-3</v>
      </c>
      <c r="D825" t="s">
        <v>256</v>
      </c>
      <c r="E825" t="s">
        <v>366</v>
      </c>
      <c r="F825" t="s">
        <v>364</v>
      </c>
      <c r="G825" s="4" t="s">
        <v>245</v>
      </c>
    </row>
    <row r="826" spans="1:7" hidden="1" x14ac:dyDescent="0.2">
      <c r="A826" t="s">
        <v>28</v>
      </c>
      <c r="B826" t="s">
        <v>186</v>
      </c>
      <c r="C826" s="4">
        <f>(0.0181224344560457/(0.0328453630665826+0.350336698877979+0.0822572721273277+0.0181224344560457+0.178561789731549)) * 1.68448721668618%</f>
        <v>4.6104701751872596E-4</v>
      </c>
      <c r="D826" t="s">
        <v>256</v>
      </c>
      <c r="E826" t="s">
        <v>281</v>
      </c>
      <c r="F826" t="s">
        <v>364</v>
      </c>
      <c r="G826" s="4" t="s">
        <v>245</v>
      </c>
    </row>
    <row r="827" spans="1:7" hidden="1" x14ac:dyDescent="0.2">
      <c r="A827" t="s">
        <v>28</v>
      </c>
      <c r="B827" t="s">
        <v>186</v>
      </c>
      <c r="C827" s="4">
        <f>(0.178561789731549/(0.0328453630665826+0.350336698877979+0.0822572721273277+0.0181224344560457+0.178561789731549)) * 1.68448721668618%</f>
        <v>4.5427329754293873E-3</v>
      </c>
      <c r="D827" t="s">
        <v>256</v>
      </c>
      <c r="E827" t="s">
        <v>367</v>
      </c>
      <c r="F827" t="s">
        <v>364</v>
      </c>
      <c r="G827" s="4" t="s">
        <v>245</v>
      </c>
    </row>
    <row r="828" spans="1:7" hidden="1" x14ac:dyDescent="0.2">
      <c r="A828" t="s">
        <v>28</v>
      </c>
      <c r="B828" t="s">
        <v>187</v>
      </c>
      <c r="C828" s="4">
        <f>(0.0328453630665826/(0.0328453630665826+0.350336698877979+0.0822572721273277+0.0181224344560457+0.178561789731549)) * 0.0419095382405991%</f>
        <v>2.0789684678850318E-5</v>
      </c>
      <c r="D828" t="s">
        <v>242</v>
      </c>
      <c r="E828" t="s">
        <v>371</v>
      </c>
      <c r="F828" t="s">
        <v>364</v>
      </c>
      <c r="G828" s="4" t="s">
        <v>245</v>
      </c>
    </row>
    <row r="829" spans="1:7" hidden="1" x14ac:dyDescent="0.2">
      <c r="A829" t="s">
        <v>28</v>
      </c>
      <c r="B829" t="s">
        <v>187</v>
      </c>
      <c r="C829" s="4">
        <f>(0.350336698877979/(0.0328453630665826+0.350336698877979+0.0822572721273277+0.0181224344560457+0.178561789731549)) * 0.0419095382405991%</f>
        <v>2.2174787614123696E-4</v>
      </c>
      <c r="D829" t="s">
        <v>256</v>
      </c>
      <c r="E829" t="s">
        <v>369</v>
      </c>
      <c r="F829" t="s">
        <v>364</v>
      </c>
      <c r="G829" s="4" t="s">
        <v>245</v>
      </c>
    </row>
    <row r="830" spans="1:7" hidden="1" x14ac:dyDescent="0.2">
      <c r="A830" t="s">
        <v>28</v>
      </c>
      <c r="B830" t="s">
        <v>187</v>
      </c>
      <c r="C830" s="4">
        <f>(0.0822572721273277/(0.0328453630665826+0.350336698877979+0.0822572721273277+0.0181224344560457+0.178561789731549)) * 0.0419095382405991%</f>
        <v>5.2065271636756901E-5</v>
      </c>
      <c r="D830" t="s">
        <v>256</v>
      </c>
      <c r="E830" t="s">
        <v>366</v>
      </c>
      <c r="F830" t="s">
        <v>364</v>
      </c>
      <c r="G830" s="4" t="s">
        <v>245</v>
      </c>
    </row>
    <row r="831" spans="1:7" hidden="1" x14ac:dyDescent="0.2">
      <c r="A831" t="s">
        <v>28</v>
      </c>
      <c r="B831" t="s">
        <v>187</v>
      </c>
      <c r="C831" s="4">
        <f>(0.0181224344560457/(0.0328453630665826+0.350336698877979+0.0822572721273277+0.0181224344560457+0.178561789731549)) * 0.0419095382405991%</f>
        <v>1.147071192943042E-5</v>
      </c>
      <c r="D831" t="s">
        <v>256</v>
      </c>
      <c r="E831" t="s">
        <v>281</v>
      </c>
      <c r="F831" t="s">
        <v>364</v>
      </c>
      <c r="G831" s="4" t="s">
        <v>245</v>
      </c>
    </row>
    <row r="832" spans="1:7" hidden="1" x14ac:dyDescent="0.2">
      <c r="A832" t="s">
        <v>28</v>
      </c>
      <c r="B832" t="s">
        <v>187</v>
      </c>
      <c r="C832" s="4">
        <f>(0.178561789731549/(0.0328453630665826+0.350336698877979+0.0822572721273277+0.0181224344560457+0.178561789731549)) * 0.0419095382405991%</f>
        <v>1.1302183801971645E-4</v>
      </c>
      <c r="D832" t="s">
        <v>256</v>
      </c>
      <c r="E832" t="s">
        <v>367</v>
      </c>
      <c r="F832" t="s">
        <v>364</v>
      </c>
      <c r="G832" s="4" t="s">
        <v>245</v>
      </c>
    </row>
    <row r="833" spans="1:8" hidden="1" x14ac:dyDescent="0.2">
      <c r="A833" t="s">
        <v>28</v>
      </c>
      <c r="B833" t="s">
        <v>127</v>
      </c>
      <c r="C833" s="4">
        <f>(0.0328453630665826/(0.0328453630665826+0.350336698877979+0.0822572721273277+0.0181224344560457+0.178561789731549)) * 0.0146674337316358%</f>
        <v>7.2759408747969563E-6</v>
      </c>
      <c r="D833" t="s">
        <v>242</v>
      </c>
      <c r="E833" t="s">
        <v>371</v>
      </c>
      <c r="F833" t="s">
        <v>364</v>
      </c>
      <c r="G833" s="4" t="s">
        <v>245</v>
      </c>
    </row>
    <row r="834" spans="1:8" hidden="1" x14ac:dyDescent="0.2">
      <c r="A834" t="s">
        <v>28</v>
      </c>
      <c r="B834" t="s">
        <v>127</v>
      </c>
      <c r="C834" s="4">
        <f>(0.350336698877979/(0.0328453630665826+0.350336698877979+0.0822572721273277+0.0181224344560457+0.178561789731549)) * 0.0146674337316358%</f>
        <v>7.7606970035327253E-5</v>
      </c>
      <c r="D834" t="s">
        <v>256</v>
      </c>
      <c r="E834" t="s">
        <v>369</v>
      </c>
      <c r="F834" t="s">
        <v>364</v>
      </c>
      <c r="G834" s="4" t="s">
        <v>245</v>
      </c>
    </row>
    <row r="835" spans="1:8" hidden="1" x14ac:dyDescent="0.2">
      <c r="A835" t="s">
        <v>28</v>
      </c>
      <c r="B835" t="s">
        <v>127</v>
      </c>
      <c r="C835" s="4">
        <f>(0.0822572721273277/(0.0328453630665826+0.350336698877979+0.0822572721273277+0.0181224344560457+0.178561789731549)) * 0.0146674337316358%</f>
        <v>1.8221721200258019E-5</v>
      </c>
      <c r="D835" t="s">
        <v>256</v>
      </c>
      <c r="E835" t="s">
        <v>366</v>
      </c>
      <c r="F835" t="s">
        <v>364</v>
      </c>
      <c r="G835" s="4" t="s">
        <v>245</v>
      </c>
    </row>
    <row r="836" spans="1:8" hidden="1" x14ac:dyDescent="0.2">
      <c r="A836" t="s">
        <v>28</v>
      </c>
      <c r="B836" t="s">
        <v>127</v>
      </c>
      <c r="C836" s="4">
        <f>(0.0181224344560457/(0.0328453630665826+0.350336698877979+0.0822572721273277+0.0181224344560457+0.178561789731549)) * 0.0146674337316358%</f>
        <v>4.0145015703518234E-6</v>
      </c>
      <c r="D836" t="s">
        <v>256</v>
      </c>
      <c r="E836" t="s">
        <v>281</v>
      </c>
      <c r="F836" t="s">
        <v>364</v>
      </c>
      <c r="G836" s="4" t="s">
        <v>245</v>
      </c>
    </row>
    <row r="837" spans="1:8" hidden="1" x14ac:dyDescent="0.2">
      <c r="A837" t="s">
        <v>28</v>
      </c>
      <c r="B837" t="s">
        <v>127</v>
      </c>
      <c r="C837" s="4">
        <f>(0.178561789731549/(0.0328453630665826+0.350336698877979+0.0822572721273277+0.0181224344560457+0.178561789731549)) * 0.0146674337316358%</f>
        <v>3.9555203635623951E-5</v>
      </c>
      <c r="D837" t="s">
        <v>256</v>
      </c>
      <c r="E837" t="s">
        <v>367</v>
      </c>
      <c r="F837" t="s">
        <v>364</v>
      </c>
      <c r="G837" s="4" t="s">
        <v>245</v>
      </c>
    </row>
    <row r="838" spans="1:8" hidden="1" x14ac:dyDescent="0.2">
      <c r="A838" t="s">
        <v>28</v>
      </c>
      <c r="B838" t="s">
        <v>116</v>
      </c>
      <c r="C838" s="4">
        <f xml:space="preserve"> 5.74710702661144% * (0.0511377513993434/(0.0511377513993434+0.00710690436703483))</f>
        <v>5.0458557360369201E-2</v>
      </c>
      <c r="D838" t="s">
        <v>271</v>
      </c>
      <c r="E838" t="s">
        <v>363</v>
      </c>
      <c r="F838" t="s">
        <v>364</v>
      </c>
      <c r="G838" s="4" t="s">
        <v>245</v>
      </c>
      <c r="H838" t="s">
        <v>365</v>
      </c>
    </row>
    <row r="839" spans="1:8" hidden="1" x14ac:dyDescent="0.2">
      <c r="A839" t="s">
        <v>28</v>
      </c>
      <c r="B839" t="s">
        <v>116</v>
      </c>
      <c r="C839" s="4">
        <f xml:space="preserve"> 5.74710702661144% * (0.00710690436703483/(0.0511377513993434+0.00710690436703483))</f>
        <v>7.0125129057452022E-3</v>
      </c>
      <c r="D839" t="s">
        <v>289</v>
      </c>
      <c r="E839" t="s">
        <v>366</v>
      </c>
      <c r="F839" t="s">
        <v>364</v>
      </c>
      <c r="G839" s="4" t="s">
        <v>245</v>
      </c>
    </row>
    <row r="840" spans="1:8" hidden="1" x14ac:dyDescent="0.2">
      <c r="A840" t="s">
        <v>28</v>
      </c>
      <c r="B840" t="s">
        <v>188</v>
      </c>
      <c r="C840" s="4">
        <f>(0.0328453630665826/(0.0328453630665826+0.350336698877979+0.0822572721273277+0.0181224344560457+0.178561789731549)) * 0.0113262502253339%</f>
        <v>5.618510264337455E-6</v>
      </c>
      <c r="D840" t="s">
        <v>242</v>
      </c>
      <c r="E840" t="s">
        <v>371</v>
      </c>
      <c r="F840" t="s">
        <v>364</v>
      </c>
      <c r="G840" s="4" t="s">
        <v>245</v>
      </c>
    </row>
    <row r="841" spans="1:8" hidden="1" x14ac:dyDescent="0.2">
      <c r="A841" t="s">
        <v>28</v>
      </c>
      <c r="B841" t="s">
        <v>188</v>
      </c>
      <c r="C841" s="4">
        <f>(0.350336698877979/(0.0328453630665826+0.350336698877979+0.0822572721273277+0.0181224344560457+0.178561789731549)) * 0.0113262502253339%</f>
        <v>5.9928408604582508E-5</v>
      </c>
      <c r="D841" t="s">
        <v>256</v>
      </c>
      <c r="E841" t="s">
        <v>369</v>
      </c>
      <c r="F841" t="s">
        <v>364</v>
      </c>
      <c r="G841" s="4" t="s">
        <v>245</v>
      </c>
    </row>
    <row r="842" spans="1:8" hidden="1" x14ac:dyDescent="0.2">
      <c r="A842" t="s">
        <v>28</v>
      </c>
      <c r="B842" t="s">
        <v>188</v>
      </c>
      <c r="C842" s="4">
        <f>(0.0822572721273277/(0.0328453630665826+0.350336698877979+0.0822572721273277+0.0181224344560457+0.178561789731549)) * 0.0113262502253339%</f>
        <v>1.4070885038686092E-5</v>
      </c>
      <c r="D842" t="s">
        <v>256</v>
      </c>
      <c r="E842" t="s">
        <v>366</v>
      </c>
      <c r="F842" t="s">
        <v>364</v>
      </c>
      <c r="G842" s="4" t="s">
        <v>245</v>
      </c>
    </row>
    <row r="843" spans="1:8" hidden="1" x14ac:dyDescent="0.2">
      <c r="A843" t="s">
        <v>28</v>
      </c>
      <c r="B843" t="s">
        <v>188</v>
      </c>
      <c r="C843" s="4">
        <f>(0.0181224344560457/(0.0328453630665826+0.350336698877979+0.0822572721273277+0.0181224344560457+0.178561789731549)) * 0.0113262502253339%</f>
        <v>3.1000139593424049E-6</v>
      </c>
      <c r="D843" t="s">
        <v>256</v>
      </c>
      <c r="E843" t="s">
        <v>281</v>
      </c>
      <c r="F843" t="s">
        <v>364</v>
      </c>
      <c r="G843" s="4" t="s">
        <v>245</v>
      </c>
    </row>
    <row r="844" spans="1:8" hidden="1" x14ac:dyDescent="0.2">
      <c r="A844" t="s">
        <v>28</v>
      </c>
      <c r="B844" t="s">
        <v>188</v>
      </c>
      <c r="C844" s="4">
        <f>(0.178561789731549/(0.0328453630665826+0.350336698877979+0.0822572721273277+0.0181224344560457+0.178561789731549)) * 0.0113262502253339%</f>
        <v>3.0544684386390547E-5</v>
      </c>
      <c r="D844" t="s">
        <v>256</v>
      </c>
      <c r="E844" t="s">
        <v>367</v>
      </c>
      <c r="F844" t="s">
        <v>364</v>
      </c>
      <c r="G844" s="4" t="s">
        <v>245</v>
      </c>
    </row>
    <row r="845" spans="1:8" hidden="1" x14ac:dyDescent="0.2">
      <c r="A845" t="s">
        <v>28</v>
      </c>
      <c r="B845" t="s">
        <v>145</v>
      </c>
      <c r="C845" s="4">
        <v>1.0950819407161871E-2</v>
      </c>
      <c r="D845" t="s">
        <v>312</v>
      </c>
      <c r="E845" t="s">
        <v>367</v>
      </c>
      <c r="F845" t="s">
        <v>364</v>
      </c>
      <c r="G845" s="4" t="s">
        <v>245</v>
      </c>
    </row>
    <row r="846" spans="1:8" hidden="1" x14ac:dyDescent="0.2">
      <c r="A846" t="s">
        <v>28</v>
      </c>
      <c r="B846" t="s">
        <v>86</v>
      </c>
      <c r="C846" s="4">
        <f>(0.0328453630665826/(0.0328453630665826+0.350336698877979+0.0822572721273277+0.0181224344560457+0.178561789731549)) * 11.4699753952593%</f>
        <v>5.6898067063552455E-3</v>
      </c>
      <c r="D846" t="s">
        <v>242</v>
      </c>
      <c r="E846" t="s">
        <v>371</v>
      </c>
      <c r="F846" t="s">
        <v>364</v>
      </c>
      <c r="G846" s="4" t="s">
        <v>245</v>
      </c>
    </row>
    <row r="847" spans="1:8" hidden="1" x14ac:dyDescent="0.2">
      <c r="A847" t="s">
        <v>28</v>
      </c>
      <c r="B847" t="s">
        <v>86</v>
      </c>
      <c r="C847" s="4">
        <f>(0.350336698877979/(0.0328453630665826+0.350336698877979+0.0822572721273277+0.0181224344560457+0.178561789731549)) * 11.4699753952593%</f>
        <v>6.0688873942950791E-2</v>
      </c>
      <c r="D847" t="s">
        <v>256</v>
      </c>
      <c r="E847" t="s">
        <v>369</v>
      </c>
      <c r="F847" t="s">
        <v>364</v>
      </c>
      <c r="G847" s="4" t="s">
        <v>245</v>
      </c>
    </row>
    <row r="848" spans="1:8" hidden="1" x14ac:dyDescent="0.2">
      <c r="A848" t="s">
        <v>28</v>
      </c>
      <c r="B848" t="s">
        <v>86</v>
      </c>
      <c r="C848" s="4">
        <f>(0.0822572721273277/(0.0328453630665826+0.350336698877979+0.0822572721273277+0.0181224344560457+0.178561789731549)) * 11.4699753952593%</f>
        <v>1.4249438425990081E-2</v>
      </c>
      <c r="D848" t="s">
        <v>256</v>
      </c>
      <c r="E848" t="s">
        <v>366</v>
      </c>
      <c r="F848" t="s">
        <v>364</v>
      </c>
      <c r="G848" s="4" t="s">
        <v>245</v>
      </c>
    </row>
    <row r="849" spans="1:7" hidden="1" x14ac:dyDescent="0.2">
      <c r="A849" t="s">
        <v>28</v>
      </c>
      <c r="B849" t="s">
        <v>86</v>
      </c>
      <c r="C849" s="4">
        <f>(0.0181224344560457/(0.0328453630665826+0.350336698877979+0.0822572721273277+0.0181224344560457+0.178561789731549)) * 11.4699753952593%</f>
        <v>3.1393517829127354E-3</v>
      </c>
      <c r="D849" t="s">
        <v>256</v>
      </c>
      <c r="E849" t="s">
        <v>281</v>
      </c>
      <c r="F849" t="s">
        <v>364</v>
      </c>
      <c r="G849" s="4" t="s">
        <v>245</v>
      </c>
    </row>
    <row r="850" spans="1:7" hidden="1" x14ac:dyDescent="0.2">
      <c r="A850" t="s">
        <v>28</v>
      </c>
      <c r="B850" t="s">
        <v>86</v>
      </c>
      <c r="C850" s="4">
        <f>(0.178561789731549/(0.0328453630665826+0.350336698877979+0.0822572721273277+0.0181224344560457+0.178561789731549)) * 11.4699753952593%</f>
        <v>3.0932283094384155E-2</v>
      </c>
      <c r="D850" t="s">
        <v>256</v>
      </c>
      <c r="E850" t="s">
        <v>367</v>
      </c>
      <c r="F850" t="s">
        <v>364</v>
      </c>
      <c r="G850" s="4" t="s">
        <v>245</v>
      </c>
    </row>
    <row r="851" spans="1:7" hidden="1" x14ac:dyDescent="0.2">
      <c r="A851" t="s">
        <v>28</v>
      </c>
      <c r="B851" t="s">
        <v>87</v>
      </c>
      <c r="C851" s="4">
        <f>(0.0328453630665826/(0.0328453630665826+0.350336698877979+0.0822572721273277+0.0181224344560457+0.178561789731549)) * 1.33420574006883%</f>
        <v>6.6184734543013168E-4</v>
      </c>
      <c r="D851" t="s">
        <v>242</v>
      </c>
      <c r="E851" t="s">
        <v>371</v>
      </c>
      <c r="F851" t="s">
        <v>364</v>
      </c>
      <c r="G851" s="4" t="s">
        <v>245</v>
      </c>
    </row>
    <row r="852" spans="1:7" hidden="1" x14ac:dyDescent="0.2">
      <c r="A852" t="s">
        <v>28</v>
      </c>
      <c r="B852" t="s">
        <v>87</v>
      </c>
      <c r="C852" s="4">
        <f>(0.350336698877979/(0.0328453630665826+0.350336698877979+0.0822572721273277+0.0181224344560457+0.178561789731549)) * 1.33420574006883%</f>
        <v>7.0594261262727056E-3</v>
      </c>
      <c r="D852" t="s">
        <v>256</v>
      </c>
      <c r="E852" t="s">
        <v>369</v>
      </c>
      <c r="F852" t="s">
        <v>364</v>
      </c>
      <c r="G852" s="4" t="s">
        <v>245</v>
      </c>
    </row>
    <row r="853" spans="1:7" hidden="1" x14ac:dyDescent="0.2">
      <c r="A853" t="s">
        <v>28</v>
      </c>
      <c r="B853" t="s">
        <v>87</v>
      </c>
      <c r="C853" s="4">
        <f>(0.0822572721273277/(0.0328453630665826+0.350336698877979+0.0822572721273277+0.0181224344560457+0.178561789731549)) * 1.33420574006883%</f>
        <v>1.6575172906274161E-3</v>
      </c>
      <c r="D853" t="s">
        <v>256</v>
      </c>
      <c r="E853" t="s">
        <v>366</v>
      </c>
      <c r="F853" t="s">
        <v>364</v>
      </c>
      <c r="G853" s="4" t="s">
        <v>245</v>
      </c>
    </row>
    <row r="854" spans="1:7" hidden="1" x14ac:dyDescent="0.2">
      <c r="A854" t="s">
        <v>28</v>
      </c>
      <c r="B854" t="s">
        <v>87</v>
      </c>
      <c r="C854" s="4">
        <f>(0.0181224344560457/(0.0328453630665826+0.350336698877979+0.0822572721273277+0.0181224344560457+0.178561789731549)) * 1.33420574006883%</f>
        <v>3.6517438133203578E-4</v>
      </c>
      <c r="D854" t="s">
        <v>256</v>
      </c>
      <c r="E854" t="s">
        <v>281</v>
      </c>
      <c r="F854" t="s">
        <v>364</v>
      </c>
      <c r="G854" s="4" t="s">
        <v>245</v>
      </c>
    </row>
    <row r="855" spans="1:7" hidden="1" x14ac:dyDescent="0.2">
      <c r="A855" t="s">
        <v>28</v>
      </c>
      <c r="B855" t="s">
        <v>87</v>
      </c>
      <c r="C855" s="4">
        <f>(0.178561789731549/(0.0328453630665826+0.350336698877979+0.0822572721273277+0.0181224344560457+0.178561789731549)) * 1.33420574006883%</f>
        <v>3.5980922570260131E-3</v>
      </c>
      <c r="D855" t="s">
        <v>256</v>
      </c>
      <c r="E855" t="s">
        <v>367</v>
      </c>
      <c r="F855" t="s">
        <v>364</v>
      </c>
      <c r="G855" s="4" t="s">
        <v>245</v>
      </c>
    </row>
    <row r="856" spans="1:7" hidden="1" x14ac:dyDescent="0.2">
      <c r="A856" t="s">
        <v>28</v>
      </c>
      <c r="B856" t="s">
        <v>189</v>
      </c>
      <c r="C856" s="4">
        <f>(0.0328453630665826/(0.0328453630665826+0.350336698877979+0.0822572721273277+0.0181224344560457+0.178561789731549)) * 0.00452326286954228%</f>
        <v>2.2438140033296488E-6</v>
      </c>
      <c r="D856" t="s">
        <v>242</v>
      </c>
      <c r="E856" t="s">
        <v>371</v>
      </c>
      <c r="F856" t="s">
        <v>364</v>
      </c>
      <c r="G856" s="4" t="s">
        <v>245</v>
      </c>
    </row>
    <row r="857" spans="1:7" hidden="1" x14ac:dyDescent="0.2">
      <c r="A857" t="s">
        <v>28</v>
      </c>
      <c r="B857" t="s">
        <v>189</v>
      </c>
      <c r="C857" s="4">
        <f>(0.350336698877979/(0.0328453630665826+0.350336698877979+0.0822572721273277+0.0181224344560457+0.178561789731549)) * 0.00452326286954228%</f>
        <v>2.3933070528986561E-5</v>
      </c>
      <c r="D857" t="s">
        <v>256</v>
      </c>
      <c r="E857" t="s">
        <v>369</v>
      </c>
      <c r="F857" t="s">
        <v>364</v>
      </c>
      <c r="G857" s="4" t="s">
        <v>245</v>
      </c>
    </row>
    <row r="858" spans="1:7" hidden="1" x14ac:dyDescent="0.2">
      <c r="A858" t="s">
        <v>28</v>
      </c>
      <c r="B858" t="s">
        <v>189</v>
      </c>
      <c r="C858" s="4">
        <f>(0.0822572721273277/(0.0328453630665826+0.350336698877979+0.0822572721273277+0.0181224344560457+0.178561789731549)) * 0.00452326286954228%</f>
        <v>5.6193630346190315E-6</v>
      </c>
      <c r="D858" t="s">
        <v>256</v>
      </c>
      <c r="E858" t="s">
        <v>366</v>
      </c>
      <c r="F858" t="s">
        <v>364</v>
      </c>
      <c r="G858" s="4" t="s">
        <v>245</v>
      </c>
    </row>
    <row r="859" spans="1:7" hidden="1" x14ac:dyDescent="0.2">
      <c r="A859" t="s">
        <v>28</v>
      </c>
      <c r="B859" t="s">
        <v>189</v>
      </c>
      <c r="C859" s="4">
        <f>(0.0181224344560457/(0.0328453630665826+0.350336698877979+0.0822572721273277+0.0181224344560457+0.178561789731549)) * 0.00452326286954228%</f>
        <v>1.2380247441463248E-6</v>
      </c>
      <c r="D859" t="s">
        <v>256</v>
      </c>
      <c r="E859" t="s">
        <v>281</v>
      </c>
      <c r="F859" t="s">
        <v>364</v>
      </c>
      <c r="G859" s="4" t="s">
        <v>245</v>
      </c>
    </row>
    <row r="860" spans="1:7" hidden="1" x14ac:dyDescent="0.2">
      <c r="A860" t="s">
        <v>28</v>
      </c>
      <c r="B860" t="s">
        <v>189</v>
      </c>
      <c r="C860" s="4">
        <f>(0.178561789731549/(0.0328453630665826+0.350336698877979+0.0822572721273277+0.0181224344560457+0.178561789731549)) * 0.00452326286954228%</f>
        <v>1.2198356384341242E-5</v>
      </c>
      <c r="D860" t="s">
        <v>256</v>
      </c>
      <c r="E860" t="s">
        <v>367</v>
      </c>
      <c r="F860" t="s">
        <v>364</v>
      </c>
      <c r="G860" s="4" t="s">
        <v>245</v>
      </c>
    </row>
    <row r="861" spans="1:7" hidden="1" x14ac:dyDescent="0.2">
      <c r="A861" t="s">
        <v>28</v>
      </c>
      <c r="B861" t="s">
        <v>159</v>
      </c>
      <c r="C861" s="4">
        <f>(0.0328453630665826/(0.0328453630665826+0.350336698877979+0.0822572721273277+0.0181224344560457+0.178561789731549)) * 1.24178643311834%</f>
        <v>6.1600173771409914E-4</v>
      </c>
      <c r="D861" t="s">
        <v>242</v>
      </c>
      <c r="E861" t="s">
        <v>371</v>
      </c>
      <c r="F861" t="s">
        <v>364</v>
      </c>
      <c r="G861" s="4" t="s">
        <v>245</v>
      </c>
    </row>
    <row r="862" spans="1:7" hidden="1" x14ac:dyDescent="0.2">
      <c r="A862" t="s">
        <v>28</v>
      </c>
      <c r="B862" t="s">
        <v>159</v>
      </c>
      <c r="C862" s="4">
        <f>(0.350336698877979/(0.0328453630665826+0.350336698877979+0.0822572721273277+0.0181224344560457+0.178561789731549)) * 1.24178643311834%</f>
        <v>6.5704256292244394E-3</v>
      </c>
      <c r="D862" t="s">
        <v>256</v>
      </c>
      <c r="E862" t="s">
        <v>369</v>
      </c>
      <c r="F862" t="s">
        <v>364</v>
      </c>
      <c r="G862" s="4" t="s">
        <v>245</v>
      </c>
    </row>
    <row r="863" spans="1:7" hidden="1" x14ac:dyDescent="0.2">
      <c r="A863" t="s">
        <v>28</v>
      </c>
      <c r="B863" t="s">
        <v>159</v>
      </c>
      <c r="C863" s="4">
        <f>(0.0822572721273277/(0.0328453630665826+0.350336698877979+0.0822572721273277+0.0181224344560457+0.178561789731549)) * 1.24178643311834%</f>
        <v>1.5427024651040772E-3</v>
      </c>
      <c r="D863" t="s">
        <v>256</v>
      </c>
      <c r="E863" t="s">
        <v>366</v>
      </c>
      <c r="F863" t="s">
        <v>364</v>
      </c>
      <c r="G863" s="4" t="s">
        <v>245</v>
      </c>
    </row>
    <row r="864" spans="1:7" hidden="1" x14ac:dyDescent="0.2">
      <c r="A864" t="s">
        <v>28</v>
      </c>
      <c r="B864" t="s">
        <v>159</v>
      </c>
      <c r="C864" s="4">
        <f>(0.0181224344560457/(0.0328453630665826+0.350336698877979+0.0822572721273277+0.0181224344560457+0.178561789731549)) * 1.24178643311834%</f>
        <v>3.3987905975963741E-4</v>
      </c>
      <c r="D864" t="s">
        <v>256</v>
      </c>
      <c r="E864" t="s">
        <v>281</v>
      </c>
      <c r="F864" t="s">
        <v>364</v>
      </c>
      <c r="G864" s="4" t="s">
        <v>245</v>
      </c>
    </row>
    <row r="865" spans="1:7" hidden="1" x14ac:dyDescent="0.2">
      <c r="A865" t="s">
        <v>28</v>
      </c>
      <c r="B865" t="s">
        <v>159</v>
      </c>
      <c r="C865" s="4">
        <f>(0.178561789731549/(0.0328453630665826+0.350336698877979+0.0822572721273277+0.0181224344560457+0.178561789731549)) * 1.24178643311834%</f>
        <v>3.3488554393811465E-3</v>
      </c>
      <c r="D865" t="s">
        <v>256</v>
      </c>
      <c r="E865" t="s">
        <v>367</v>
      </c>
      <c r="F865" t="s">
        <v>364</v>
      </c>
      <c r="G865" s="4" t="s">
        <v>245</v>
      </c>
    </row>
    <row r="866" spans="1:7" hidden="1" x14ac:dyDescent="0.2">
      <c r="A866" t="s">
        <v>28</v>
      </c>
      <c r="B866" t="s">
        <v>190</v>
      </c>
      <c r="C866" s="4">
        <f>(0.0328453630665826/(0.0328453630665826+0.350336698877979+0.0822572721273277+0.0181224344560457+0.178561789731549)) * 0.0823414772771477%</f>
        <v>4.0846390116612939E-5</v>
      </c>
      <c r="D866" t="s">
        <v>242</v>
      </c>
      <c r="E866" t="s">
        <v>371</v>
      </c>
      <c r="F866" t="s">
        <v>364</v>
      </c>
      <c r="G866" s="4" t="s">
        <v>245</v>
      </c>
    </row>
    <row r="867" spans="1:7" hidden="1" x14ac:dyDescent="0.2">
      <c r="A867" t="s">
        <v>28</v>
      </c>
      <c r="B867" t="s">
        <v>190</v>
      </c>
      <c r="C867" s="4">
        <f>(0.350336698877979/(0.0328453630665826+0.350336698877979+0.0822572721273277+0.0181224344560457+0.178561789731549)) * 0.0823414772771477%</f>
        <v>4.3567761590967155E-4</v>
      </c>
      <c r="D867" t="s">
        <v>256</v>
      </c>
      <c r="E867" t="s">
        <v>369</v>
      </c>
      <c r="F867" t="s">
        <v>364</v>
      </c>
      <c r="G867" s="4" t="s">
        <v>245</v>
      </c>
    </row>
    <row r="868" spans="1:7" hidden="1" x14ac:dyDescent="0.2">
      <c r="A868" t="s">
        <v>28</v>
      </c>
      <c r="B868" t="s">
        <v>190</v>
      </c>
      <c r="C868" s="4">
        <f>(0.0822572721273277/(0.0328453630665826+0.350336698877979+0.0822572721273277+0.0181224344560457+0.178561789731549)) * 0.0823414772771477%</f>
        <v>1.0229488468220489E-4</v>
      </c>
      <c r="D868" t="s">
        <v>256</v>
      </c>
      <c r="E868" t="s">
        <v>366</v>
      </c>
      <c r="F868" t="s">
        <v>364</v>
      </c>
      <c r="G868" s="4" t="s">
        <v>245</v>
      </c>
    </row>
    <row r="869" spans="1:7" hidden="1" x14ac:dyDescent="0.2">
      <c r="A869" t="s">
        <v>28</v>
      </c>
      <c r="B869" t="s">
        <v>190</v>
      </c>
      <c r="C869" s="4">
        <f>(0.0181224344560457/(0.0328453630665826+0.350336698877979+0.0822572721273277+0.0181224344560457+0.178561789731549)) * 0.0823414772771477%</f>
        <v>2.2537002442439701E-5</v>
      </c>
      <c r="D869" t="s">
        <v>256</v>
      </c>
      <c r="E869" t="s">
        <v>281</v>
      </c>
      <c r="F869" t="s">
        <v>364</v>
      </c>
      <c r="G869" s="4" t="s">
        <v>245</v>
      </c>
    </row>
    <row r="870" spans="1:7" hidden="1" x14ac:dyDescent="0.2">
      <c r="A870" t="s">
        <v>28</v>
      </c>
      <c r="B870" t="s">
        <v>190</v>
      </c>
      <c r="C870" s="4">
        <f>(0.178561789731549/(0.0328453630665826+0.350336698877979+0.0822572721273277+0.0181224344560457+0.178561789731549)) * 0.0823414772771477%</f>
        <v>2.2205887962054805E-4</v>
      </c>
      <c r="D870" t="s">
        <v>256</v>
      </c>
      <c r="E870" t="s">
        <v>367</v>
      </c>
      <c r="F870" t="s">
        <v>364</v>
      </c>
      <c r="G870" s="4" t="s">
        <v>245</v>
      </c>
    </row>
    <row r="871" spans="1:7" hidden="1" x14ac:dyDescent="0.2">
      <c r="A871" t="s">
        <v>28</v>
      </c>
      <c r="B871" t="s">
        <v>166</v>
      </c>
      <c r="C871" s="4">
        <f>(0.0328453630665826/(0.0328453630665826+0.350336698877979+0.0822572721273277+0.0181224344560457+0.178561789731549)) * 0.00113986224312466%</f>
        <v>5.6544112883907404E-7</v>
      </c>
      <c r="D871" t="s">
        <v>242</v>
      </c>
      <c r="E871" t="s">
        <v>371</v>
      </c>
      <c r="F871" t="s">
        <v>364</v>
      </c>
      <c r="G871" s="4" t="s">
        <v>245</v>
      </c>
    </row>
    <row r="872" spans="1:7" hidden="1" x14ac:dyDescent="0.2">
      <c r="A872" t="s">
        <v>28</v>
      </c>
      <c r="B872" t="s">
        <v>166</v>
      </c>
      <c r="C872" s="4">
        <f>(0.350336698877979/(0.0328453630665826+0.350336698877979+0.0822572721273277+0.0181224344560457+0.178561789731549)) * 0.00113986224312466%</f>
        <v>6.0311337733046415E-6</v>
      </c>
      <c r="D872" t="s">
        <v>256</v>
      </c>
      <c r="E872" t="s">
        <v>369</v>
      </c>
      <c r="F872" t="s">
        <v>364</v>
      </c>
      <c r="G872" s="4" t="s">
        <v>245</v>
      </c>
    </row>
    <row r="873" spans="1:7" hidden="1" x14ac:dyDescent="0.2">
      <c r="A873" t="s">
        <v>28</v>
      </c>
      <c r="B873" t="s">
        <v>166</v>
      </c>
      <c r="C873" s="4">
        <f>(0.0822572721273277/(0.0328453630665826+0.350336698877979+0.0822572721273277+0.0181224344560457+0.178561789731549)) * 0.00113986224312466%</f>
        <v>1.4160794847240025E-6</v>
      </c>
      <c r="D873" t="s">
        <v>256</v>
      </c>
      <c r="E873" t="s">
        <v>366</v>
      </c>
      <c r="F873" t="s">
        <v>364</v>
      </c>
      <c r="G873" s="4" t="s">
        <v>245</v>
      </c>
    </row>
    <row r="874" spans="1:7" hidden="1" x14ac:dyDescent="0.2">
      <c r="A874" t="s">
        <v>28</v>
      </c>
      <c r="B874" t="s">
        <v>166</v>
      </c>
      <c r="C874" s="4">
        <f>(0.0181224344560457/(0.0328453630665826+0.350336698877979+0.0822572721273277+0.0181224344560457+0.178561789731549)) * 0.00113986224312466%</f>
        <v>3.1198223552487527E-7</v>
      </c>
      <c r="D874" t="s">
        <v>256</v>
      </c>
      <c r="E874" t="s">
        <v>281</v>
      </c>
      <c r="F874" t="s">
        <v>364</v>
      </c>
      <c r="G874" s="4" t="s">
        <v>245</v>
      </c>
    </row>
    <row r="875" spans="1:7" hidden="1" x14ac:dyDescent="0.2">
      <c r="A875" t="s">
        <v>28</v>
      </c>
      <c r="B875" t="s">
        <v>166</v>
      </c>
      <c r="C875" s="4">
        <f>(0.178561789731549/(0.0328453630665826+0.350336698877979+0.0822572721273277+0.0181224344560457+0.178561789731549)) * 0.00113986224312466%</f>
        <v>3.0739858088540069E-6</v>
      </c>
      <c r="D875" t="s">
        <v>256</v>
      </c>
      <c r="E875" t="s">
        <v>367</v>
      </c>
      <c r="F875" t="s">
        <v>364</v>
      </c>
      <c r="G875" s="4" t="s">
        <v>245</v>
      </c>
    </row>
    <row r="876" spans="1:7" hidden="1" x14ac:dyDescent="0.2">
      <c r="A876" t="s">
        <v>28</v>
      </c>
      <c r="B876" t="s">
        <v>89</v>
      </c>
      <c r="C876" s="4">
        <f>(0.0328453630665826/(0.0328453630665826+0.350336698877979+0.0822572721273277+0.0181224344560457+0.178561789731549)) * 0.917197089599987%</f>
        <v>4.5498564483516409E-4</v>
      </c>
      <c r="D876" t="s">
        <v>242</v>
      </c>
      <c r="E876" t="s">
        <v>371</v>
      </c>
      <c r="F876" t="s">
        <v>364</v>
      </c>
      <c r="G876" s="4" t="s">
        <v>245</v>
      </c>
    </row>
    <row r="877" spans="1:7" hidden="1" x14ac:dyDescent="0.2">
      <c r="A877" t="s">
        <v>28</v>
      </c>
      <c r="B877" t="s">
        <v>89</v>
      </c>
      <c r="C877" s="4">
        <f>(0.350336698877979/(0.0328453630665826+0.350336698877979+0.0822572721273277+0.0181224344560457+0.178561789731549)) * 0.917197089599987%</f>
        <v>4.8529884880643692E-3</v>
      </c>
      <c r="D877" t="s">
        <v>256</v>
      </c>
      <c r="E877" t="s">
        <v>369</v>
      </c>
      <c r="F877" t="s">
        <v>364</v>
      </c>
      <c r="G877" s="4" t="s">
        <v>245</v>
      </c>
    </row>
    <row r="878" spans="1:7" hidden="1" x14ac:dyDescent="0.2">
      <c r="A878" t="s">
        <v>28</v>
      </c>
      <c r="B878" t="s">
        <v>89</v>
      </c>
      <c r="C878" s="4">
        <f>(0.0822572721273277/(0.0328453630665826+0.350336698877979+0.0822572721273277+0.0181224344560457+0.178561789731549)) * 0.917197089599987%</f>
        <v>1.1394569737398167E-3</v>
      </c>
      <c r="D878" t="s">
        <v>256</v>
      </c>
      <c r="E878" t="s">
        <v>366</v>
      </c>
      <c r="F878" t="s">
        <v>364</v>
      </c>
      <c r="G878" s="4" t="s">
        <v>245</v>
      </c>
    </row>
    <row r="879" spans="1:7" hidden="1" x14ac:dyDescent="0.2">
      <c r="A879" t="s">
        <v>28</v>
      </c>
      <c r="B879" t="s">
        <v>89</v>
      </c>
      <c r="C879" s="4">
        <f>(0.0181224344560457/(0.0328453630665826+0.350336698877979+0.0822572721273277+0.0181224344560457+0.178561789731549)) * 0.917197089599987%</f>
        <v>2.5103840411969748E-4</v>
      </c>
      <c r="D879" t="s">
        <v>256</v>
      </c>
      <c r="E879" t="s">
        <v>281</v>
      </c>
      <c r="F879" t="s">
        <v>364</v>
      </c>
      <c r="G879" s="4" t="s">
        <v>245</v>
      </c>
    </row>
    <row r="880" spans="1:7" hidden="1" x14ac:dyDescent="0.2">
      <c r="A880" t="s">
        <v>28</v>
      </c>
      <c r="B880" t="s">
        <v>89</v>
      </c>
      <c r="C880" s="4">
        <f>(0.178561789731549/(0.0328453630665826+0.350336698877979+0.0822572721273277+0.0181224344560457+0.178561789731549)) * 0.917197089599987%</f>
        <v>2.4735013852408222E-3</v>
      </c>
      <c r="D880" t="s">
        <v>256</v>
      </c>
      <c r="E880" t="s">
        <v>367</v>
      </c>
      <c r="F880" t="s">
        <v>364</v>
      </c>
      <c r="G880" s="4" t="s">
        <v>245</v>
      </c>
    </row>
    <row r="881" spans="1:7" hidden="1" x14ac:dyDescent="0.2">
      <c r="A881" t="s">
        <v>28</v>
      </c>
      <c r="B881" t="s">
        <v>167</v>
      </c>
      <c r="C881" s="4">
        <f>(0.0328453630665826/(0.0328453630665826+0.350336698877979+0.0822572721273277+0.0181224344560457+0.178561789731549)) * 0.256758493526698%</f>
        <v>1.2736785808500418E-4</v>
      </c>
      <c r="D881" t="s">
        <v>242</v>
      </c>
      <c r="E881" t="s">
        <v>371</v>
      </c>
      <c r="F881" t="s">
        <v>364</v>
      </c>
      <c r="G881" s="4" t="s">
        <v>245</v>
      </c>
    </row>
    <row r="882" spans="1:7" hidden="1" x14ac:dyDescent="0.2">
      <c r="A882" t="s">
        <v>28</v>
      </c>
      <c r="B882" t="s">
        <v>167</v>
      </c>
      <c r="C882" s="4">
        <f>(0.350336698877979/(0.0328453630665826+0.350336698877979+0.0822572721273277+0.0181224344560457+0.178561789731549)) * 0.256758493526698%</f>
        <v>1.3585368155073932E-3</v>
      </c>
      <c r="D882" t="s">
        <v>256</v>
      </c>
      <c r="E882" t="s">
        <v>369</v>
      </c>
      <c r="F882" t="s">
        <v>364</v>
      </c>
      <c r="G882" s="4" t="s">
        <v>245</v>
      </c>
    </row>
    <row r="883" spans="1:7" hidden="1" x14ac:dyDescent="0.2">
      <c r="A883" t="s">
        <v>28</v>
      </c>
      <c r="B883" t="s">
        <v>167</v>
      </c>
      <c r="C883" s="4">
        <f>(0.0822572721273277/(0.0328453630665826+0.350336698877979+0.0822572721273277+0.0181224344560457+0.178561789731549)) * 0.256758493526698%</f>
        <v>3.189775232971147E-4</v>
      </c>
      <c r="D883" t="s">
        <v>256</v>
      </c>
      <c r="E883" t="s">
        <v>366</v>
      </c>
      <c r="F883" t="s">
        <v>364</v>
      </c>
      <c r="G883" s="4" t="s">
        <v>245</v>
      </c>
    </row>
    <row r="884" spans="1:7" hidden="1" x14ac:dyDescent="0.2">
      <c r="A884" t="s">
        <v>28</v>
      </c>
      <c r="B884" t="s">
        <v>167</v>
      </c>
      <c r="C884" s="4">
        <f>(0.0181224344560457/(0.0328453630665826+0.350336698877979+0.0822572721273277+0.0181224344560457+0.178561789731549)) * 0.256758493526698%</f>
        <v>7.0275236576721972E-5</v>
      </c>
      <c r="D884" t="s">
        <v>256</v>
      </c>
      <c r="E884" t="s">
        <v>281</v>
      </c>
      <c r="F884" t="s">
        <v>364</v>
      </c>
      <c r="G884" s="4" t="s">
        <v>245</v>
      </c>
    </row>
    <row r="885" spans="1:7" hidden="1" x14ac:dyDescent="0.2">
      <c r="A885" t="s">
        <v>28</v>
      </c>
      <c r="B885" t="s">
        <v>167</v>
      </c>
      <c r="C885" s="4">
        <f>(0.178561789731549/(0.0328453630665826+0.350336698877979+0.0822572721273277+0.0181224344560457+0.178561789731549)) * 0.256758493526698%</f>
        <v>6.9242750180074626E-4</v>
      </c>
      <c r="D885" t="s">
        <v>256</v>
      </c>
      <c r="E885" t="s">
        <v>367</v>
      </c>
      <c r="F885" t="s">
        <v>364</v>
      </c>
      <c r="G885" s="4" t="s">
        <v>245</v>
      </c>
    </row>
    <row r="886" spans="1:7" hidden="1" x14ac:dyDescent="0.2">
      <c r="A886" t="s">
        <v>28</v>
      </c>
      <c r="B886" t="s">
        <v>128</v>
      </c>
      <c r="C886" s="4">
        <f>(0.0328453630665826/(0.0328453630665826+0.350336698877979+0.0822572721273277+0.0181224344560457+0.178561789731549)) * 0.443695901399142%</f>
        <v>2.2010020321461219E-4</v>
      </c>
      <c r="D886" t="s">
        <v>242</v>
      </c>
      <c r="E886" t="s">
        <v>371</v>
      </c>
      <c r="F886" t="s">
        <v>364</v>
      </c>
      <c r="G886" s="4" t="s">
        <v>245</v>
      </c>
    </row>
    <row r="887" spans="1:7" hidden="1" x14ac:dyDescent="0.2">
      <c r="A887" t="s">
        <v>28</v>
      </c>
      <c r="B887" t="s">
        <v>128</v>
      </c>
      <c r="C887" s="4">
        <f>(0.350336698877979/(0.0328453630665826+0.350336698877979+0.0822572721273277+0.0181224344560457+0.178561789731549)) * 0.443695901399142%</f>
        <v>2.3476427543293529E-3</v>
      </c>
      <c r="D887" t="s">
        <v>256</v>
      </c>
      <c r="E887" t="s">
        <v>369</v>
      </c>
      <c r="F887" t="s">
        <v>364</v>
      </c>
      <c r="G887" s="4" t="s">
        <v>245</v>
      </c>
    </row>
    <row r="888" spans="1:7" hidden="1" x14ac:dyDescent="0.2">
      <c r="A888" t="s">
        <v>28</v>
      </c>
      <c r="B888" t="s">
        <v>128</v>
      </c>
      <c r="C888" s="4">
        <f>(0.0822572721273277/(0.0328453630665826+0.350336698877979+0.0822572721273277+0.0181224344560457+0.178561789731549)) * 0.443695901399142%</f>
        <v>5.5121455879185075E-4</v>
      </c>
      <c r="D888" t="s">
        <v>256</v>
      </c>
      <c r="E888" t="s">
        <v>366</v>
      </c>
      <c r="F888" t="s">
        <v>364</v>
      </c>
      <c r="G888" s="4" t="s">
        <v>245</v>
      </c>
    </row>
    <row r="889" spans="1:7" hidden="1" x14ac:dyDescent="0.2">
      <c r="A889" t="s">
        <v>28</v>
      </c>
      <c r="B889" t="s">
        <v>128</v>
      </c>
      <c r="C889" s="4">
        <f>(0.0181224344560457/(0.0328453630665826+0.350336698877979+0.0822572721273277+0.0181224344560457+0.178561789731549)) * 0.443695901399142%</f>
        <v>1.2144032320280144E-4</v>
      </c>
      <c r="D889" t="s">
        <v>256</v>
      </c>
      <c r="E889" t="s">
        <v>281</v>
      </c>
      <c r="F889" t="s">
        <v>364</v>
      </c>
      <c r="G889" s="4" t="s">
        <v>245</v>
      </c>
    </row>
    <row r="890" spans="1:7" hidden="1" x14ac:dyDescent="0.2">
      <c r="A890" t="s">
        <v>28</v>
      </c>
      <c r="B890" t="s">
        <v>128</v>
      </c>
      <c r="C890" s="4">
        <f>(0.178561789731549/(0.0328453630665826+0.350336698877979+0.0822572721273277+0.0181224344560457+0.178561789731549)) * 0.443695901399142%</f>
        <v>1.1965611744528027E-3</v>
      </c>
      <c r="D890" t="s">
        <v>256</v>
      </c>
      <c r="E890" t="s">
        <v>367</v>
      </c>
      <c r="F890" t="s">
        <v>364</v>
      </c>
      <c r="G890" s="4" t="s">
        <v>245</v>
      </c>
    </row>
    <row r="891" spans="1:7" hidden="1" x14ac:dyDescent="0.2">
      <c r="A891" t="s">
        <v>28</v>
      </c>
      <c r="B891" t="s">
        <v>191</v>
      </c>
      <c r="C891" s="4">
        <f>(0.0328453630665826/(0.0328453630665826+0.350336698877979+0.0822572721273277+0.0181224344560457+0.178561789731549)) * 0.00603101715938971%</f>
        <v>2.9917520044395329E-6</v>
      </c>
      <c r="D891" t="s">
        <v>242</v>
      </c>
      <c r="E891" t="s">
        <v>371</v>
      </c>
      <c r="F891" t="s">
        <v>364</v>
      </c>
      <c r="G891" s="4" t="s">
        <v>245</v>
      </c>
    </row>
    <row r="892" spans="1:7" hidden="1" x14ac:dyDescent="0.2">
      <c r="A892" t="s">
        <v>28</v>
      </c>
      <c r="B892" t="s">
        <v>191</v>
      </c>
      <c r="C892" s="4">
        <f>(0.350336698877979/(0.0328453630665826+0.350336698877979+0.0822572721273277+0.0181224344560457+0.178561789731549)) * 0.00603101715938971%</f>
        <v>3.1910760705315428E-5</v>
      </c>
      <c r="D892" t="s">
        <v>256</v>
      </c>
      <c r="E892" t="s">
        <v>369</v>
      </c>
      <c r="F892" t="s">
        <v>364</v>
      </c>
      <c r="G892" s="4" t="s">
        <v>245</v>
      </c>
    </row>
    <row r="893" spans="1:7" hidden="1" x14ac:dyDescent="0.2">
      <c r="A893" t="s">
        <v>28</v>
      </c>
      <c r="B893" t="s">
        <v>191</v>
      </c>
      <c r="C893" s="4">
        <f>(0.0822572721273277/(0.0328453630665826+0.350336698877979+0.0822572721273277+0.0181224344560457+0.178561789731549)) * 0.00603101715938971%</f>
        <v>7.4924840461587126E-6</v>
      </c>
      <c r="D893" t="s">
        <v>256</v>
      </c>
      <c r="E893" t="s">
        <v>366</v>
      </c>
      <c r="F893" t="s">
        <v>364</v>
      </c>
      <c r="G893" s="4" t="s">
        <v>245</v>
      </c>
    </row>
    <row r="894" spans="1:7" hidden="1" x14ac:dyDescent="0.2">
      <c r="A894" t="s">
        <v>28</v>
      </c>
      <c r="B894" t="s">
        <v>191</v>
      </c>
      <c r="C894" s="4">
        <f>(0.0181224344560457/(0.0328453630665826+0.350336698877979+0.0822572721273277+0.0181224344560457+0.178561789731549)) * 0.00603101715938971%</f>
        <v>1.650699658861767E-6</v>
      </c>
      <c r="D894" t="s">
        <v>256</v>
      </c>
      <c r="E894" t="s">
        <v>281</v>
      </c>
      <c r="F894" t="s">
        <v>364</v>
      </c>
      <c r="G894" s="4" t="s">
        <v>245</v>
      </c>
    </row>
    <row r="895" spans="1:7" hidden="1" x14ac:dyDescent="0.2">
      <c r="A895" t="s">
        <v>28</v>
      </c>
      <c r="B895" t="s">
        <v>191</v>
      </c>
      <c r="C895" s="4">
        <f>(0.178561789731549/(0.0328453630665826+0.350336698877979+0.0822572721273277+0.0181224344560457+0.178561789731549)) * 0.00603101715938971%</f>
        <v>1.6264475179121662E-5</v>
      </c>
      <c r="D895" t="s">
        <v>256</v>
      </c>
      <c r="E895" t="s">
        <v>367</v>
      </c>
      <c r="F895" t="s">
        <v>364</v>
      </c>
      <c r="G895" s="4" t="s">
        <v>245</v>
      </c>
    </row>
    <row r="896" spans="1:7" hidden="1" x14ac:dyDescent="0.2">
      <c r="A896" t="s">
        <v>28</v>
      </c>
      <c r="B896" t="s">
        <v>168</v>
      </c>
      <c r="C896" s="4">
        <f>(0.0328453630665826/(0.0328453630665826+0.350336698877979+0.0822572721273277+0.0181224344560457+0.178561789731549)) * 0.11157381744871%</f>
        <v>5.5347412082131544E-5</v>
      </c>
      <c r="D896" t="s">
        <v>242</v>
      </c>
      <c r="E896" t="s">
        <v>371</v>
      </c>
      <c r="F896" t="s">
        <v>364</v>
      </c>
      <c r="G896" s="4" t="s">
        <v>245</v>
      </c>
    </row>
    <row r="897" spans="1:7" hidden="1" x14ac:dyDescent="0.2">
      <c r="A897" t="s">
        <v>28</v>
      </c>
      <c r="B897" t="s">
        <v>168</v>
      </c>
      <c r="C897" s="4">
        <f>(0.350336698877979/(0.0328453630665826+0.350336698877979+0.0822572721273277+0.0181224344560457+0.178561789731549)) * 0.11157381744871%</f>
        <v>5.9034907304833745E-4</v>
      </c>
      <c r="D897" t="s">
        <v>256</v>
      </c>
      <c r="E897" t="s">
        <v>369</v>
      </c>
      <c r="F897" t="s">
        <v>364</v>
      </c>
      <c r="G897" s="4" t="s">
        <v>245</v>
      </c>
    </row>
    <row r="898" spans="1:7" hidden="1" x14ac:dyDescent="0.2">
      <c r="A898" t="s">
        <v>28</v>
      </c>
      <c r="B898" t="s">
        <v>168</v>
      </c>
      <c r="C898" s="4">
        <f>(0.0822572721273277/(0.0328453630665826+0.350336698877979+0.0822572721273277+0.0181224344560457+0.178561789731549)) * 0.11157381744871%</f>
        <v>1.3861095485393664E-4</v>
      </c>
      <c r="D898" t="s">
        <v>256</v>
      </c>
      <c r="E898" t="s">
        <v>366</v>
      </c>
      <c r="F898" t="s">
        <v>364</v>
      </c>
      <c r="G898" s="4" t="s">
        <v>245</v>
      </c>
    </row>
    <row r="899" spans="1:7" hidden="1" x14ac:dyDescent="0.2">
      <c r="A899" t="s">
        <v>28</v>
      </c>
      <c r="B899" t="s">
        <v>168</v>
      </c>
      <c r="C899" s="4">
        <f>(0.0181224344560457/(0.0328453630665826+0.350336698877979+0.0822572721273277+0.0181224344560457+0.178561789731549)) * 0.11157381744871%</f>
        <v>3.0537943688942788E-5</v>
      </c>
      <c r="D899" t="s">
        <v>256</v>
      </c>
      <c r="E899" t="s">
        <v>281</v>
      </c>
      <c r="F899" t="s">
        <v>364</v>
      </c>
      <c r="G899" s="4" t="s">
        <v>245</v>
      </c>
    </row>
    <row r="900" spans="1:7" hidden="1" x14ac:dyDescent="0.2">
      <c r="A900" t="s">
        <v>28</v>
      </c>
      <c r="B900" t="s">
        <v>168</v>
      </c>
      <c r="C900" s="4">
        <f>(0.178561789731549/(0.0328453630665826+0.350336698877979+0.0822572721273277+0.0181224344560457+0.178561789731549)) * 0.11157381744871%</f>
        <v>3.0089279081375176E-4</v>
      </c>
      <c r="D900" t="s">
        <v>256</v>
      </c>
      <c r="E900" t="s">
        <v>367</v>
      </c>
      <c r="F900" t="s">
        <v>364</v>
      </c>
      <c r="G900" s="4" t="s">
        <v>245</v>
      </c>
    </row>
    <row r="901" spans="1:7" hidden="1" x14ac:dyDescent="0.2">
      <c r="A901" t="s">
        <v>28</v>
      </c>
      <c r="B901" t="s">
        <v>192</v>
      </c>
      <c r="C901" s="4">
        <f>(0.0328453630665826/(0.0328453630665826+0.350336698877979+0.0822572721273277+0.0181224344560457+0.178561789731549)) * 0.000114589326028404%</f>
        <v>5.6843288084350883E-8</v>
      </c>
      <c r="D901" t="s">
        <v>242</v>
      </c>
      <c r="E901" t="s">
        <v>371</v>
      </c>
      <c r="F901" t="s">
        <v>364</v>
      </c>
      <c r="G901" s="4" t="s">
        <v>245</v>
      </c>
    </row>
    <row r="902" spans="1:7" hidden="1" x14ac:dyDescent="0.2">
      <c r="A902" t="s">
        <v>28</v>
      </c>
      <c r="B902" t="s">
        <v>192</v>
      </c>
      <c r="C902" s="4">
        <f>(0.350336698877979/(0.0328453630665826+0.350336698877979+0.0822572721273277+0.0181224344560457+0.178561789731549)) * 0.000114589326028404%</f>
        <v>6.0630445340099056E-7</v>
      </c>
      <c r="D902" t="s">
        <v>256</v>
      </c>
      <c r="E902" t="s">
        <v>369</v>
      </c>
      <c r="F902" t="s">
        <v>364</v>
      </c>
      <c r="G902" s="4" t="s">
        <v>245</v>
      </c>
    </row>
    <row r="903" spans="1:7" hidden="1" x14ac:dyDescent="0.2">
      <c r="A903" t="s">
        <v>28</v>
      </c>
      <c r="B903" t="s">
        <v>192</v>
      </c>
      <c r="C903" s="4">
        <f>(0.0822572721273277/(0.0328453630665826+0.350336698877979+0.0822572721273277+0.0181224344560457+0.178561789731549)) * 0.000114589326028404%</f>
        <v>1.4235719687701493E-7</v>
      </c>
      <c r="D903" t="s">
        <v>256</v>
      </c>
      <c r="E903" t="s">
        <v>366</v>
      </c>
      <c r="F903" t="s">
        <v>364</v>
      </c>
      <c r="G903" s="4" t="s">
        <v>245</v>
      </c>
    </row>
    <row r="904" spans="1:7" hidden="1" x14ac:dyDescent="0.2">
      <c r="A904" t="s">
        <v>28</v>
      </c>
      <c r="B904" t="s">
        <v>192</v>
      </c>
      <c r="C904" s="4">
        <f>(0.0181224344560457/(0.0328453630665826+0.350336698877979+0.0822572721273277+0.0181224344560457+0.178561789731549)) * 0.000114589326028404%</f>
        <v>3.1363293518373435E-8</v>
      </c>
      <c r="D904" t="s">
        <v>256</v>
      </c>
      <c r="E904" t="s">
        <v>281</v>
      </c>
      <c r="F904" t="s">
        <v>364</v>
      </c>
      <c r="G904" s="4" t="s">
        <v>245</v>
      </c>
    </row>
    <row r="905" spans="1:7" hidden="1" x14ac:dyDescent="0.2">
      <c r="A905" t="s">
        <v>28</v>
      </c>
      <c r="B905" t="s">
        <v>192</v>
      </c>
      <c r="C905" s="4">
        <f>(0.178561789731549/(0.0328453630665826+0.350336698877979+0.0822572721273277+0.0181224344560457+0.178561789731549)) * 0.000114589326028404%</f>
        <v>3.0902502840331026E-7</v>
      </c>
      <c r="D905" t="s">
        <v>256</v>
      </c>
      <c r="E905" t="s">
        <v>367</v>
      </c>
      <c r="F905" t="s">
        <v>364</v>
      </c>
      <c r="G905" s="4" t="s">
        <v>245</v>
      </c>
    </row>
    <row r="906" spans="1:7" hidden="1" x14ac:dyDescent="0.2">
      <c r="A906" t="s">
        <v>28</v>
      </c>
      <c r="B906" t="s">
        <v>193</v>
      </c>
      <c r="C906" s="4">
        <f>(0.0328453630665826/(0.0328453630665826+0.350336698877979+0.0822572721273277+0.0181224344560457+0.178561789731549)) * 0.1407277543972%</f>
        <v>6.9809541271592307E-5</v>
      </c>
      <c r="D906" t="s">
        <v>242</v>
      </c>
      <c r="E906" t="s">
        <v>371</v>
      </c>
      <c r="F906" t="s">
        <v>364</v>
      </c>
      <c r="G906" s="4" t="s">
        <v>245</v>
      </c>
    </row>
    <row r="907" spans="1:7" hidden="1" x14ac:dyDescent="0.2">
      <c r="A907" t="s">
        <v>28</v>
      </c>
      <c r="B907" t="s">
        <v>193</v>
      </c>
      <c r="C907" s="4">
        <f>(0.350336698877979/(0.0328453630665826+0.350336698877979+0.0822572721273277+0.0181224344560457+0.178561789731549)) * 0.1407277543972%</f>
        <v>7.4460569029783286E-4</v>
      </c>
      <c r="D907" t="s">
        <v>256</v>
      </c>
      <c r="E907" t="s">
        <v>369</v>
      </c>
      <c r="F907" t="s">
        <v>364</v>
      </c>
      <c r="G907" s="4" t="s">
        <v>245</v>
      </c>
    </row>
    <row r="908" spans="1:7" hidden="1" x14ac:dyDescent="0.2">
      <c r="A908" t="s">
        <v>28</v>
      </c>
      <c r="B908" t="s">
        <v>193</v>
      </c>
      <c r="C908" s="4">
        <f>(0.0822572721273277/(0.0328453630665826+0.350336698877979+0.0822572721273277+0.0181224344560457+0.178561789731549)) * 0.1407277543972%</f>
        <v>1.7482962273306801E-4</v>
      </c>
      <c r="D908" t="s">
        <v>256</v>
      </c>
      <c r="E908" t="s">
        <v>366</v>
      </c>
      <c r="F908" t="s">
        <v>364</v>
      </c>
      <c r="G908" s="4" t="s">
        <v>245</v>
      </c>
    </row>
    <row r="909" spans="1:7" hidden="1" x14ac:dyDescent="0.2">
      <c r="A909" t="s">
        <v>28</v>
      </c>
      <c r="B909" t="s">
        <v>193</v>
      </c>
      <c r="C909" s="4">
        <f>(0.0181224344560457/(0.0328453630665826+0.350336698877979+0.0822572721273277+0.0181224344560457+0.178561789731549)) * 0.1407277543972%</f>
        <v>3.8517425839880608E-5</v>
      </c>
      <c r="D909" t="s">
        <v>256</v>
      </c>
      <c r="E909" t="s">
        <v>281</v>
      </c>
      <c r="F909" t="s">
        <v>364</v>
      </c>
      <c r="G909" s="4" t="s">
        <v>245</v>
      </c>
    </row>
    <row r="910" spans="1:7" hidden="1" x14ac:dyDescent="0.2">
      <c r="A910" t="s">
        <v>28</v>
      </c>
      <c r="B910" t="s">
        <v>193</v>
      </c>
      <c r="C910" s="4">
        <f>(0.178561789731549/(0.0328453630665826+0.350336698877979+0.0822572721273277+0.0181224344560457+0.178561789731549)) * 0.1407277543972%</f>
        <v>3.7951526382962625E-4</v>
      </c>
      <c r="D910" t="s">
        <v>256</v>
      </c>
      <c r="E910" t="s">
        <v>367</v>
      </c>
      <c r="F910" t="s">
        <v>364</v>
      </c>
      <c r="G910" s="4" t="s">
        <v>245</v>
      </c>
    </row>
    <row r="911" spans="1:7" hidden="1" x14ac:dyDescent="0.2">
      <c r="A911" t="s">
        <v>28</v>
      </c>
      <c r="B911" t="s">
        <v>90</v>
      </c>
      <c r="C911" s="4">
        <f>(0.0328453630665826/(0.0328453630665826+0.350336698877979+0.0822572721273277+0.0181224344560457+0.178561789731549)) * 0.0362403821107728%</f>
        <v>1.797743779467717E-5</v>
      </c>
      <c r="D911" t="s">
        <v>242</v>
      </c>
      <c r="E911" t="s">
        <v>371</v>
      </c>
      <c r="F911" t="s">
        <v>364</v>
      </c>
      <c r="G911" s="4" t="s">
        <v>245</v>
      </c>
    </row>
    <row r="912" spans="1:7" hidden="1" x14ac:dyDescent="0.2">
      <c r="A912" t="s">
        <v>28</v>
      </c>
      <c r="B912" t="s">
        <v>90</v>
      </c>
      <c r="C912" s="4">
        <f>(0.350336698877979/(0.0328453630665826+0.350336698877979+0.0822572721273277+0.0181224344560457+0.178561789731549)) * 0.0362403821107728%</f>
        <v>1.9175176107824059E-4</v>
      </c>
      <c r="D912" t="s">
        <v>256</v>
      </c>
      <c r="E912" t="s">
        <v>369</v>
      </c>
      <c r="F912" t="s">
        <v>364</v>
      </c>
      <c r="G912" s="4" t="s">
        <v>245</v>
      </c>
    </row>
    <row r="913" spans="1:7" hidden="1" x14ac:dyDescent="0.2">
      <c r="A913" t="s">
        <v>28</v>
      </c>
      <c r="B913" t="s">
        <v>90</v>
      </c>
      <c r="C913" s="4">
        <f>(0.0822572721273277/(0.0328453630665826+0.350336698877979+0.0822572721273277+0.0181224344560457+0.178561789731549)) * 0.0362403821107728%</f>
        <v>4.5022336633367744E-5</v>
      </c>
      <c r="D913" t="s">
        <v>256</v>
      </c>
      <c r="E913" t="s">
        <v>366</v>
      </c>
      <c r="F913" t="s">
        <v>364</v>
      </c>
      <c r="G913" s="4" t="s">
        <v>245</v>
      </c>
    </row>
    <row r="914" spans="1:7" hidden="1" x14ac:dyDescent="0.2">
      <c r="A914" t="s">
        <v>28</v>
      </c>
      <c r="B914" t="s">
        <v>90</v>
      </c>
      <c r="C914" s="4">
        <f>(0.0181224344560457/(0.0328453630665826+0.350336698877979+0.0822572721273277+0.0181224344560457+0.178561789731549)) * 0.0362403821107728%</f>
        <v>9.9190542501003661E-6</v>
      </c>
      <c r="D914" t="s">
        <v>256</v>
      </c>
      <c r="E914" t="s">
        <v>281</v>
      </c>
      <c r="F914" t="s">
        <v>364</v>
      </c>
      <c r="G914" s="4" t="s">
        <v>245</v>
      </c>
    </row>
    <row r="915" spans="1:7" hidden="1" x14ac:dyDescent="0.2">
      <c r="A915" t="s">
        <v>28</v>
      </c>
      <c r="B915" t="s">
        <v>90</v>
      </c>
      <c r="C915" s="4">
        <f>(0.178561789731549/(0.0328453630665826+0.350336698877979+0.0822572721273277+0.0181224344560457+0.178561789731549)) * 0.0362403821107728%</f>
        <v>9.7733231351342158E-5</v>
      </c>
      <c r="D915" t="s">
        <v>256</v>
      </c>
      <c r="E915" t="s">
        <v>367</v>
      </c>
      <c r="F915" t="s">
        <v>364</v>
      </c>
      <c r="G915" s="4" t="s">
        <v>245</v>
      </c>
    </row>
    <row r="916" spans="1:7" hidden="1" x14ac:dyDescent="0.2">
      <c r="A916" t="s">
        <v>28</v>
      </c>
      <c r="B916" t="s">
        <v>154</v>
      </c>
      <c r="C916" s="4">
        <f>(0.0328453630665826/(0.0328453630665826+0.350336698877979+0.0822572721273277+0.0181224344560457+0.178561789731549)) * 0.262415587622206%</f>
        <v>1.301741214651687E-4</v>
      </c>
      <c r="D916" t="s">
        <v>242</v>
      </c>
      <c r="E916" t="s">
        <v>371</v>
      </c>
      <c r="F916" t="s">
        <v>364</v>
      </c>
      <c r="G916" s="4" t="s">
        <v>245</v>
      </c>
    </row>
    <row r="917" spans="1:7" hidden="1" x14ac:dyDescent="0.2">
      <c r="A917" t="s">
        <v>28</v>
      </c>
      <c r="B917" t="s">
        <v>154</v>
      </c>
      <c r="C917" s="4">
        <f>(0.350336698877979/(0.0328453630665826+0.350336698877979+0.0822572721273277+0.0181224344560457+0.178561789731549)) * 0.262415587622206%</f>
        <v>1.3884691090489815E-3</v>
      </c>
      <c r="D917" t="s">
        <v>256</v>
      </c>
      <c r="E917" t="s">
        <v>369</v>
      </c>
      <c r="F917" t="s">
        <v>364</v>
      </c>
      <c r="G917" s="4" t="s">
        <v>245</v>
      </c>
    </row>
    <row r="918" spans="1:7" hidden="1" x14ac:dyDescent="0.2">
      <c r="A918" t="s">
        <v>28</v>
      </c>
      <c r="B918" t="s">
        <v>154</v>
      </c>
      <c r="C918" s="4">
        <f>(0.0822572721273277/(0.0328453630665826+0.350336698877979+0.0822572721273277+0.0181224344560457+0.178561789731549)) * 0.262415587622206%</f>
        <v>3.2600547333241214E-4</v>
      </c>
      <c r="D918" t="s">
        <v>256</v>
      </c>
      <c r="E918" t="s">
        <v>366</v>
      </c>
      <c r="F918" t="s">
        <v>364</v>
      </c>
      <c r="G918" s="4" t="s">
        <v>245</v>
      </c>
    </row>
    <row r="919" spans="1:7" hidden="1" x14ac:dyDescent="0.2">
      <c r="A919" t="s">
        <v>28</v>
      </c>
      <c r="B919" t="s">
        <v>154</v>
      </c>
      <c r="C919" s="4">
        <f>(0.0181224344560457/(0.0328453630665826+0.350336698877979+0.0822572721273277+0.0181224344560457+0.178561789731549)) * 0.262415587622206%</f>
        <v>7.1823592856734428E-5</v>
      </c>
      <c r="D919" t="s">
        <v>256</v>
      </c>
      <c r="E919" t="s">
        <v>281</v>
      </c>
      <c r="F919" t="s">
        <v>364</v>
      </c>
      <c r="G919" s="4" t="s">
        <v>245</v>
      </c>
    </row>
    <row r="920" spans="1:7" hidden="1" x14ac:dyDescent="0.2">
      <c r="A920" t="s">
        <v>28</v>
      </c>
      <c r="B920" t="s">
        <v>154</v>
      </c>
      <c r="C920" s="4">
        <f>(0.178561789731549/(0.0328453630665826+0.350336698877979+0.0822572721273277+0.0181224344560457+0.178561789731549)) * 0.262415587622206%</f>
        <v>7.0768357951876356E-4</v>
      </c>
      <c r="D920" t="s">
        <v>256</v>
      </c>
      <c r="E920" t="s">
        <v>367</v>
      </c>
      <c r="F920" t="s">
        <v>364</v>
      </c>
      <c r="G920" s="4" t="s">
        <v>245</v>
      </c>
    </row>
    <row r="921" spans="1:7" hidden="1" x14ac:dyDescent="0.2">
      <c r="A921" t="s">
        <v>28</v>
      </c>
      <c r="B921" t="s">
        <v>194</v>
      </c>
      <c r="C921" s="4">
        <f>(0.0328453630665826/(0.0328453630665826+0.350336698877979+0.0822572721273277+0.0181224344560457+0.178561789731549)) * 0.295519840810096%</f>
        <v>1.4659584821753721E-4</v>
      </c>
      <c r="D921" t="s">
        <v>242</v>
      </c>
      <c r="E921" t="s">
        <v>371</v>
      </c>
      <c r="F921" t="s">
        <v>364</v>
      </c>
      <c r="G921" s="4" t="s">
        <v>245</v>
      </c>
    </row>
    <row r="922" spans="1:7" hidden="1" x14ac:dyDescent="0.2">
      <c r="A922" t="s">
        <v>28</v>
      </c>
      <c r="B922" t="s">
        <v>194</v>
      </c>
      <c r="C922" s="4">
        <f>(0.350336698877979/(0.0328453630665826+0.350336698877979+0.0822572721273277+0.0181224344560457+0.178561789731549)) * 0.295519840810096%</f>
        <v>1.5636272745604572E-3</v>
      </c>
      <c r="D922" t="s">
        <v>256</v>
      </c>
      <c r="E922" t="s">
        <v>369</v>
      </c>
      <c r="F922" t="s">
        <v>364</v>
      </c>
      <c r="G922" s="4" t="s">
        <v>245</v>
      </c>
    </row>
    <row r="923" spans="1:7" hidden="1" x14ac:dyDescent="0.2">
      <c r="A923" t="s">
        <v>28</v>
      </c>
      <c r="B923" t="s">
        <v>194</v>
      </c>
      <c r="C923" s="4">
        <f>(0.0822572721273277/(0.0328453630665826+0.350336698877979+0.0822572721273277+0.0181224344560457+0.178561789731549)) * 0.295519840810096%</f>
        <v>3.6713171826177718E-4</v>
      </c>
      <c r="D923" t="s">
        <v>256</v>
      </c>
      <c r="E923" t="s">
        <v>366</v>
      </c>
      <c r="F923" t="s">
        <v>364</v>
      </c>
      <c r="G923" s="4" t="s">
        <v>245</v>
      </c>
    </row>
    <row r="924" spans="1:7" hidden="1" x14ac:dyDescent="0.2">
      <c r="A924" t="s">
        <v>28</v>
      </c>
      <c r="B924" t="s">
        <v>194</v>
      </c>
      <c r="C924" s="4">
        <f>(0.0181224344560457/(0.0328453630665826+0.350336698877979+0.0822572721273277+0.0181224344560457+0.178561789731549)) * 0.295519840810096%</f>
        <v>8.0884283284226636E-5</v>
      </c>
      <c r="D924" t="s">
        <v>256</v>
      </c>
      <c r="E924" t="s">
        <v>281</v>
      </c>
      <c r="F924" t="s">
        <v>364</v>
      </c>
      <c r="G924" s="4" t="s">
        <v>245</v>
      </c>
    </row>
    <row r="925" spans="1:7" hidden="1" x14ac:dyDescent="0.2">
      <c r="A925" t="s">
        <v>28</v>
      </c>
      <c r="B925" t="s">
        <v>194</v>
      </c>
      <c r="C925" s="4">
        <f>(0.178561789731549/(0.0328453630665826+0.350336698877979+0.0822572721273277+0.0181224344560457+0.178561789731549)) * 0.295519840810096%</f>
        <v>7.9695928377696208E-4</v>
      </c>
      <c r="D925" t="s">
        <v>256</v>
      </c>
      <c r="E925" t="s">
        <v>367</v>
      </c>
      <c r="F925" t="s">
        <v>364</v>
      </c>
      <c r="G925" s="4" t="s">
        <v>245</v>
      </c>
    </row>
    <row r="926" spans="1:7" hidden="1" x14ac:dyDescent="0.2">
      <c r="A926" t="s">
        <v>28</v>
      </c>
      <c r="B926" t="s">
        <v>195</v>
      </c>
      <c r="C926" s="4">
        <f>(0.0328453630665826/(0.0328453630665826+0.350336698877979+0.0822572721273277+0.0181224344560457+0.178561789731549)) * 0.00603101715938971%</f>
        <v>2.9917520044395329E-6</v>
      </c>
      <c r="D926" t="s">
        <v>242</v>
      </c>
      <c r="E926" t="s">
        <v>371</v>
      </c>
      <c r="F926" t="s">
        <v>364</v>
      </c>
      <c r="G926" s="4" t="s">
        <v>245</v>
      </c>
    </row>
    <row r="927" spans="1:7" hidden="1" x14ac:dyDescent="0.2">
      <c r="A927" t="s">
        <v>28</v>
      </c>
      <c r="B927" t="s">
        <v>195</v>
      </c>
      <c r="C927" s="4">
        <f>(0.350336698877979/(0.0328453630665826+0.350336698877979+0.0822572721273277+0.0181224344560457+0.178561789731549)) * 0.00603101715938971%</f>
        <v>3.1910760705315428E-5</v>
      </c>
      <c r="D927" t="s">
        <v>256</v>
      </c>
      <c r="E927" t="s">
        <v>369</v>
      </c>
      <c r="F927" t="s">
        <v>364</v>
      </c>
      <c r="G927" s="4" t="s">
        <v>245</v>
      </c>
    </row>
    <row r="928" spans="1:7" hidden="1" x14ac:dyDescent="0.2">
      <c r="A928" t="s">
        <v>28</v>
      </c>
      <c r="B928" t="s">
        <v>195</v>
      </c>
      <c r="C928" s="4">
        <f>(0.0822572721273277/(0.0328453630665826+0.350336698877979+0.0822572721273277+0.0181224344560457+0.178561789731549)) * 0.00603101715938971%</f>
        <v>7.4924840461587126E-6</v>
      </c>
      <c r="D928" t="s">
        <v>256</v>
      </c>
      <c r="E928" t="s">
        <v>366</v>
      </c>
      <c r="F928" t="s">
        <v>364</v>
      </c>
      <c r="G928" s="4" t="s">
        <v>245</v>
      </c>
    </row>
    <row r="929" spans="1:7" hidden="1" x14ac:dyDescent="0.2">
      <c r="A929" t="s">
        <v>28</v>
      </c>
      <c r="B929" t="s">
        <v>195</v>
      </c>
      <c r="C929" s="4">
        <f>(0.0181224344560457/(0.0328453630665826+0.350336698877979+0.0822572721273277+0.0181224344560457+0.178561789731549)) * 0.00603101715938971%</f>
        <v>1.650699658861767E-6</v>
      </c>
      <c r="D929" t="s">
        <v>256</v>
      </c>
      <c r="E929" t="s">
        <v>281</v>
      </c>
      <c r="F929" t="s">
        <v>364</v>
      </c>
      <c r="G929" s="4" t="s">
        <v>245</v>
      </c>
    </row>
    <row r="930" spans="1:7" hidden="1" x14ac:dyDescent="0.2">
      <c r="A930" t="s">
        <v>28</v>
      </c>
      <c r="B930" t="s">
        <v>195</v>
      </c>
      <c r="C930" s="4">
        <f>(0.178561789731549/(0.0328453630665826+0.350336698877979+0.0822572721273277+0.0181224344560457+0.178561789731549)) * 0.00603101715938971%</f>
        <v>1.6264475179121662E-5</v>
      </c>
      <c r="D930" t="s">
        <v>256</v>
      </c>
      <c r="E930" t="s">
        <v>367</v>
      </c>
      <c r="F930" t="s">
        <v>364</v>
      </c>
      <c r="G930" s="4" t="s">
        <v>245</v>
      </c>
    </row>
    <row r="931" spans="1:7" hidden="1" x14ac:dyDescent="0.2">
      <c r="A931" t="s">
        <v>28</v>
      </c>
      <c r="B931" t="s">
        <v>169</v>
      </c>
      <c r="C931" s="4">
        <f>(0.0328453630665826/(0.0328453630665826+0.350336698877979+0.0822572721273277+0.0181224344560457+0.178561789731549)) * 0.122411555284133%</f>
        <v>6.0723590434109226E-5</v>
      </c>
      <c r="D931" t="s">
        <v>242</v>
      </c>
      <c r="E931" t="s">
        <v>371</v>
      </c>
      <c r="F931" t="s">
        <v>364</v>
      </c>
      <c r="G931" s="4" t="s">
        <v>245</v>
      </c>
    </row>
    <row r="932" spans="1:7" hidden="1" x14ac:dyDescent="0.2">
      <c r="A932" t="s">
        <v>28</v>
      </c>
      <c r="B932" t="s">
        <v>169</v>
      </c>
      <c r="C932" s="4">
        <f>(0.350336698877979/(0.0328453630665826+0.350336698877979+0.0822572721273277+0.0181224344560457+0.178561789731549)) * 0.122411555284133%</f>
        <v>6.476927100357876E-4</v>
      </c>
      <c r="D932" t="s">
        <v>256</v>
      </c>
      <c r="E932" t="s">
        <v>369</v>
      </c>
      <c r="F932" t="s">
        <v>364</v>
      </c>
      <c r="G932" s="4" t="s">
        <v>245</v>
      </c>
    </row>
    <row r="933" spans="1:7" hidden="1" x14ac:dyDescent="0.2">
      <c r="A933" t="s">
        <v>28</v>
      </c>
      <c r="B933" t="s">
        <v>169</v>
      </c>
      <c r="C933" s="4">
        <f>(0.0822572721273277/(0.0328453630665826+0.350336698877979+0.0822572721273277+0.0181224344560457+0.178561789731549)) * 0.122411555284133%</f>
        <v>1.5207494868488345E-4</v>
      </c>
      <c r="D933" t="s">
        <v>256</v>
      </c>
      <c r="E933" t="s">
        <v>366</v>
      </c>
      <c r="F933" t="s">
        <v>364</v>
      </c>
      <c r="G933" s="4" t="s">
        <v>245</v>
      </c>
    </row>
    <row r="934" spans="1:7" hidden="1" x14ac:dyDescent="0.2">
      <c r="A934" t="s">
        <v>28</v>
      </c>
      <c r="B934" t="s">
        <v>169</v>
      </c>
      <c r="C934" s="4">
        <f>(0.0181224344560457/(0.0328453630665826+0.350336698877979+0.0822572721273277+0.0181224344560457+0.178561789731549)) * 0.122411555284133%</f>
        <v>3.3504250975917298E-5</v>
      </c>
      <c r="D934" t="s">
        <v>256</v>
      </c>
      <c r="E934" t="s">
        <v>281</v>
      </c>
      <c r="F934" t="s">
        <v>364</v>
      </c>
      <c r="G934" s="4" t="s">
        <v>245</v>
      </c>
    </row>
    <row r="935" spans="1:7" hidden="1" x14ac:dyDescent="0.2">
      <c r="A935" t="s">
        <v>28</v>
      </c>
      <c r="B935" t="s">
        <v>169</v>
      </c>
      <c r="C935" s="4">
        <f>(0.178561789731549/(0.0328453630665826+0.350336698877979+0.0822572721273277+0.0181224344560457+0.178561789731549)) * 0.122411555284133%</f>
        <v>3.3012005271063256E-4</v>
      </c>
      <c r="D935" t="s">
        <v>256</v>
      </c>
      <c r="E935" t="s">
        <v>367</v>
      </c>
      <c r="F935" t="s">
        <v>364</v>
      </c>
      <c r="G935" s="4" t="s">
        <v>245</v>
      </c>
    </row>
    <row r="936" spans="1:7" hidden="1" x14ac:dyDescent="0.2">
      <c r="A936" t="s">
        <v>28</v>
      </c>
      <c r="B936" t="s">
        <v>117</v>
      </c>
      <c r="C936" s="4">
        <f>(0.0328453630665826/(0.0328453630665826+0.350336698877979+0.0822572721273277+0.0181224344560457+0.178561789731549)) * 0.000192992549100471%</f>
        <v>9.5736064142065198E-8</v>
      </c>
      <c r="D936" t="s">
        <v>242</v>
      </c>
      <c r="E936" t="s">
        <v>371</v>
      </c>
      <c r="F936" t="s">
        <v>364</v>
      </c>
      <c r="G936" s="4" t="s">
        <v>245</v>
      </c>
    </row>
    <row r="937" spans="1:7" hidden="1" x14ac:dyDescent="0.2">
      <c r="A937" t="s">
        <v>28</v>
      </c>
      <c r="B937" t="s">
        <v>117</v>
      </c>
      <c r="C937" s="4">
        <f>(0.350336698877979/(0.0328453630665826+0.350336698877979+0.0822572721273277+0.0181224344560457+0.178561789731549)) * 0.000192992549100471%</f>
        <v>1.0211443425700953E-6</v>
      </c>
      <c r="D937" t="s">
        <v>256</v>
      </c>
      <c r="E937" t="s">
        <v>369</v>
      </c>
      <c r="F937" t="s">
        <v>364</v>
      </c>
      <c r="G937" s="4" t="s">
        <v>245</v>
      </c>
    </row>
    <row r="938" spans="1:7" hidden="1" x14ac:dyDescent="0.2">
      <c r="A938" t="s">
        <v>28</v>
      </c>
      <c r="B938" t="s">
        <v>117</v>
      </c>
      <c r="C938" s="4">
        <f>(0.0822572721273277/(0.0328453630665826+0.350336698877979+0.0822572721273277+0.0181224344560457+0.178561789731549)) * 0.000192992549100471%</f>
        <v>2.3975948947707915E-7</v>
      </c>
      <c r="D938" t="s">
        <v>256</v>
      </c>
      <c r="E938" t="s">
        <v>366</v>
      </c>
      <c r="F938" t="s">
        <v>364</v>
      </c>
      <c r="G938" s="4" t="s">
        <v>245</v>
      </c>
    </row>
    <row r="939" spans="1:7" hidden="1" x14ac:dyDescent="0.2">
      <c r="A939" t="s">
        <v>28</v>
      </c>
      <c r="B939" t="s">
        <v>117</v>
      </c>
      <c r="C939" s="4">
        <f>(0.0181224344560457/(0.0328453630665826+0.350336698877979+0.0822572721273277+0.0181224344560457+0.178561789731549)) * 0.000192992549100471%</f>
        <v>5.2822389083576618E-8</v>
      </c>
      <c r="D939" t="s">
        <v>256</v>
      </c>
      <c r="E939" t="s">
        <v>281</v>
      </c>
      <c r="F939" t="s">
        <v>364</v>
      </c>
      <c r="G939" s="4" t="s">
        <v>245</v>
      </c>
    </row>
    <row r="940" spans="1:7" hidden="1" x14ac:dyDescent="0.2">
      <c r="A940" t="s">
        <v>28</v>
      </c>
      <c r="B940" t="s">
        <v>117</v>
      </c>
      <c r="C940" s="4">
        <f>(0.178561789731549/(0.0328453630665826+0.350336698877979+0.0822572721273277+0.0181224344560457+0.178561789731549)) * 0.000192992549100471%</f>
        <v>5.2046320573189403E-7</v>
      </c>
      <c r="D940" t="s">
        <v>256</v>
      </c>
      <c r="E940" t="s">
        <v>367</v>
      </c>
      <c r="F940" t="s">
        <v>364</v>
      </c>
      <c r="G940" s="4" t="s">
        <v>245</v>
      </c>
    </row>
    <row r="941" spans="1:7" hidden="1" x14ac:dyDescent="0.2">
      <c r="A941" t="s">
        <v>28</v>
      </c>
      <c r="B941" t="s">
        <v>92</v>
      </c>
      <c r="C941" s="4">
        <f>(0.0328453630665826/(0.0328453630665826+0.350336698877979+0.0822572721273277+0.0181224344560457+0.178561789731549)) * 3.87703938091368%</f>
        <v>1.923247776053956E-3</v>
      </c>
      <c r="D941" t="s">
        <v>242</v>
      </c>
      <c r="E941" t="s">
        <v>371</v>
      </c>
      <c r="F941" t="s">
        <v>364</v>
      </c>
      <c r="G941" s="4" t="s">
        <v>245</v>
      </c>
    </row>
    <row r="942" spans="1:7" hidden="1" x14ac:dyDescent="0.2">
      <c r="A942" t="s">
        <v>28</v>
      </c>
      <c r="B942" t="s">
        <v>92</v>
      </c>
      <c r="C942" s="4">
        <f>(0.350336698877979/(0.0328453630665826+0.350336698877979+0.0822572721273277+0.0181224344560457+0.178561789731549)) * 3.87703938091368%</f>
        <v>2.0513832519412047E-2</v>
      </c>
      <c r="D942" t="s">
        <v>256</v>
      </c>
      <c r="E942" t="s">
        <v>369</v>
      </c>
      <c r="F942" t="s">
        <v>364</v>
      </c>
      <c r="G942" s="4" t="s">
        <v>245</v>
      </c>
    </row>
    <row r="943" spans="1:7" hidden="1" x14ac:dyDescent="0.2">
      <c r="A943" t="s">
        <v>28</v>
      </c>
      <c r="B943" t="s">
        <v>92</v>
      </c>
      <c r="C943" s="4">
        <f>(0.0822572721273277/(0.0328453630665826+0.350336698877979+0.0822572721273277+0.0181224344560457+0.178561789731549)) * 3.87703938091368%</f>
        <v>4.8165433690731344E-3</v>
      </c>
      <c r="D943" t="s">
        <v>256</v>
      </c>
      <c r="E943" t="s">
        <v>366</v>
      </c>
      <c r="F943" t="s">
        <v>364</v>
      </c>
      <c r="G943" s="4" t="s">
        <v>245</v>
      </c>
    </row>
    <row r="944" spans="1:7" hidden="1" x14ac:dyDescent="0.2">
      <c r="A944" t="s">
        <v>28</v>
      </c>
      <c r="B944" t="s">
        <v>92</v>
      </c>
      <c r="C944" s="4">
        <f>(0.0181224344560457/(0.0328453630665826+0.350336698877979+0.0822572721273277+0.0181224344560457+0.178561789731549)) * 3.87703938091368%</f>
        <v>1.0611522756992882E-3</v>
      </c>
      <c r="D944" t="s">
        <v>256</v>
      </c>
      <c r="E944" t="s">
        <v>281</v>
      </c>
      <c r="F944" t="s">
        <v>364</v>
      </c>
      <c r="G944" s="4" t="s">
        <v>245</v>
      </c>
    </row>
    <row r="945" spans="1:7" hidden="1" x14ac:dyDescent="0.2">
      <c r="A945" t="s">
        <v>28</v>
      </c>
      <c r="B945" t="s">
        <v>92</v>
      </c>
      <c r="C945" s="4">
        <f>(0.178561789731549/(0.0328453630665826+0.350336698877979+0.0822572721273277+0.0181224344560457+0.178561789731549)) * 3.87703938091368%</f>
        <v>1.0455617868898374E-2</v>
      </c>
      <c r="D945" t="s">
        <v>256</v>
      </c>
      <c r="E945" t="s">
        <v>367</v>
      </c>
      <c r="F945" t="s">
        <v>364</v>
      </c>
      <c r="G945" s="4" t="s">
        <v>245</v>
      </c>
    </row>
    <row r="946" spans="1:7" hidden="1" x14ac:dyDescent="0.2">
      <c r="A946" t="s">
        <v>28</v>
      </c>
      <c r="B946" t="s">
        <v>93</v>
      </c>
      <c r="C946" s="4">
        <f>(0.0328453630665826/(0.0328453630665826+0.350336698877979+0.0822572721273277+0.0181224344560457+0.178561789731549)) * 0.0813946075831235%</f>
        <v>4.0376685051915925E-5</v>
      </c>
      <c r="D946" t="s">
        <v>242</v>
      </c>
      <c r="E946" t="s">
        <v>371</v>
      </c>
      <c r="F946" t="s">
        <v>364</v>
      </c>
      <c r="G946" s="4" t="s">
        <v>245</v>
      </c>
    </row>
    <row r="947" spans="1:7" hidden="1" x14ac:dyDescent="0.2">
      <c r="A947" t="s">
        <v>28</v>
      </c>
      <c r="B947" t="s">
        <v>93</v>
      </c>
      <c r="C947" s="4">
        <f>(0.350336698877979/(0.0328453630665826+0.350336698877979+0.0822572721273277+0.0181224344560457+0.178561789731549)) * 0.0813946075831235%</f>
        <v>4.306676264789369E-4</v>
      </c>
      <c r="D947" t="s">
        <v>256</v>
      </c>
      <c r="E947" t="s">
        <v>369</v>
      </c>
      <c r="F947" t="s">
        <v>364</v>
      </c>
      <c r="G947" s="4" t="s">
        <v>245</v>
      </c>
    </row>
    <row r="948" spans="1:7" hidden="1" x14ac:dyDescent="0.2">
      <c r="A948" t="s">
        <v>28</v>
      </c>
      <c r="B948" t="s">
        <v>93</v>
      </c>
      <c r="C948" s="4">
        <f>(0.0822572721273277/(0.0328453630665826+0.350336698877979+0.0822572721273277+0.0181224344560457+0.178561789731549)) * 0.0813946075831235%</f>
        <v>1.0111856468695795E-4</v>
      </c>
      <c r="D948" t="s">
        <v>256</v>
      </c>
      <c r="E948" t="s">
        <v>366</v>
      </c>
      <c r="F948" t="s">
        <v>364</v>
      </c>
      <c r="G948" s="4" t="s">
        <v>245</v>
      </c>
    </row>
    <row r="949" spans="1:7" hidden="1" x14ac:dyDescent="0.2">
      <c r="A949" t="s">
        <v>28</v>
      </c>
      <c r="B949" t="s">
        <v>93</v>
      </c>
      <c r="C949" s="4">
        <f>(0.0181224344560457/(0.0328453630665826+0.350336698877979+0.0822572721273277+0.0181224344560457+0.178561789731549)) * 0.0813946075831235%</f>
        <v>2.2277842595998399E-5</v>
      </c>
      <c r="D949" t="s">
        <v>256</v>
      </c>
      <c r="E949" t="s">
        <v>281</v>
      </c>
      <c r="F949" t="s">
        <v>364</v>
      </c>
      <c r="G949" s="4" t="s">
        <v>245</v>
      </c>
    </row>
    <row r="950" spans="1:7" hidden="1" x14ac:dyDescent="0.2">
      <c r="A950" t="s">
        <v>28</v>
      </c>
      <c r="B950" t="s">
        <v>93</v>
      </c>
      <c r="C950" s="4">
        <f>(0.178561789731549/(0.0328453630665826+0.350336698877979+0.0822572721273277+0.0181224344560457+0.178561789731549)) * 0.0813946075831235%</f>
        <v>2.195053570174259E-4</v>
      </c>
      <c r="D950" t="s">
        <v>256</v>
      </c>
      <c r="E950" t="s">
        <v>367</v>
      </c>
      <c r="F950" t="s">
        <v>364</v>
      </c>
      <c r="G950" s="4" t="s">
        <v>245</v>
      </c>
    </row>
    <row r="951" spans="1:7" hidden="1" x14ac:dyDescent="0.2">
      <c r="A951" t="s">
        <v>28</v>
      </c>
      <c r="B951" t="s">
        <v>196</v>
      </c>
      <c r="C951" s="4">
        <f>(0.0328453630665826/(0.0328453630665826+0.350336698877979+0.0822572721273277+0.0181224344560457+0.178561789731549)) * 0.00993308526151486%</f>
        <v>4.9274155513119138E-6</v>
      </c>
      <c r="D951" t="s">
        <v>242</v>
      </c>
      <c r="E951" t="s">
        <v>371</v>
      </c>
      <c r="F951" t="s">
        <v>364</v>
      </c>
      <c r="G951" s="4" t="s">
        <v>245</v>
      </c>
    </row>
    <row r="952" spans="1:7" hidden="1" x14ac:dyDescent="0.2">
      <c r="A952" t="s">
        <v>28</v>
      </c>
      <c r="B952" t="s">
        <v>196</v>
      </c>
      <c r="C952" s="4">
        <f>(0.350336698877979/(0.0328453630665826+0.350336698877979+0.0822572721273277+0.0181224344560457+0.178561789731549)) * 0.00993308526151486%</f>
        <v>5.255702288165455E-5</v>
      </c>
      <c r="D952" t="s">
        <v>256</v>
      </c>
      <c r="E952" t="s">
        <v>369</v>
      </c>
      <c r="F952" t="s">
        <v>364</v>
      </c>
      <c r="G952" s="4" t="s">
        <v>245</v>
      </c>
    </row>
    <row r="953" spans="1:7" hidden="1" x14ac:dyDescent="0.2">
      <c r="A953" t="s">
        <v>28</v>
      </c>
      <c r="B953" t="s">
        <v>196</v>
      </c>
      <c r="C953" s="4">
        <f>(0.0822572721273277/(0.0328453630665826+0.350336698877979+0.0822572721273277+0.0181224344560457+0.178561789731549)) * 0.00993308526151486%</f>
        <v>1.2340121224023407E-5</v>
      </c>
      <c r="D953" t="s">
        <v>256</v>
      </c>
      <c r="E953" t="s">
        <v>366</v>
      </c>
      <c r="F953" t="s">
        <v>364</v>
      </c>
      <c r="G953" s="4" t="s">
        <v>245</v>
      </c>
    </row>
    <row r="954" spans="1:7" hidden="1" x14ac:dyDescent="0.2">
      <c r="A954" t="s">
        <v>28</v>
      </c>
      <c r="B954" t="s">
        <v>196</v>
      </c>
      <c r="C954" s="4">
        <f>(0.0181224344560457/(0.0328453630665826+0.350336698877979+0.0822572721273277+0.0181224344560457+0.178561789731549)) * 0.00993308526151486%</f>
        <v>2.7187023381453319E-6</v>
      </c>
      <c r="D954" t="s">
        <v>256</v>
      </c>
      <c r="E954" t="s">
        <v>281</v>
      </c>
      <c r="F954" t="s">
        <v>364</v>
      </c>
      <c r="G954" s="4" t="s">
        <v>245</v>
      </c>
    </row>
    <row r="955" spans="1:7" hidden="1" x14ac:dyDescent="0.2">
      <c r="A955" t="s">
        <v>28</v>
      </c>
      <c r="B955" t="s">
        <v>196</v>
      </c>
      <c r="C955" s="4">
        <f>(0.178561789731549/(0.0328453630665826+0.350336698877979+0.0822572721273277+0.0181224344560457+0.178561789731549)) * 0.00993308526151486%</f>
        <v>2.6787590620013396E-5</v>
      </c>
      <c r="D955" t="s">
        <v>256</v>
      </c>
      <c r="E955" t="s">
        <v>367</v>
      </c>
      <c r="F955" t="s">
        <v>364</v>
      </c>
      <c r="G955" s="4" t="s">
        <v>245</v>
      </c>
    </row>
    <row r="956" spans="1:7" hidden="1" x14ac:dyDescent="0.2">
      <c r="A956" t="s">
        <v>28</v>
      </c>
      <c r="B956" t="s">
        <v>94</v>
      </c>
      <c r="C956" s="4">
        <f>(0.0328453630665826/(0.0328453630665826+0.350336698877979+0.0822572721273277+0.0181224344560457+0.178561789731549)) * 1.75833702180291%</f>
        <v>8.7224230514234104E-4</v>
      </c>
      <c r="D956" t="s">
        <v>242</v>
      </c>
      <c r="E956" t="s">
        <v>371</v>
      </c>
      <c r="F956" t="s">
        <v>364</v>
      </c>
      <c r="G956" s="4" t="s">
        <v>245</v>
      </c>
    </row>
    <row r="957" spans="1:7" hidden="1" x14ac:dyDescent="0.2">
      <c r="A957" t="s">
        <v>28</v>
      </c>
      <c r="B957" t="s">
        <v>94</v>
      </c>
      <c r="C957" s="4">
        <f>(0.350336698877979/(0.0328453630665826+0.350336698877979+0.0822572721273277+0.0181224344560457+0.178561789731549)) * 1.75833702180291%</f>
        <v>9.303550372874005E-3</v>
      </c>
      <c r="D957" t="s">
        <v>256</v>
      </c>
      <c r="E957" t="s">
        <v>369</v>
      </c>
      <c r="F957" t="s">
        <v>364</v>
      </c>
      <c r="G957" s="4" t="s">
        <v>245</v>
      </c>
    </row>
    <row r="958" spans="1:7" hidden="1" x14ac:dyDescent="0.2">
      <c r="A958" t="s">
        <v>28</v>
      </c>
      <c r="B958" t="s">
        <v>94</v>
      </c>
      <c r="C958" s="4">
        <f>(0.0822572721273277/(0.0328453630665826+0.350336698877979+0.0822572721273277+0.0181224344560457+0.178561789731549)) * 1.75833702180291%</f>
        <v>2.1844262311735254E-3</v>
      </c>
      <c r="D958" t="s">
        <v>256</v>
      </c>
      <c r="E958" t="s">
        <v>366</v>
      </c>
      <c r="F958" t="s">
        <v>364</v>
      </c>
      <c r="G958" s="4" t="s">
        <v>245</v>
      </c>
    </row>
    <row r="959" spans="1:7" hidden="1" x14ac:dyDescent="0.2">
      <c r="A959" t="s">
        <v>28</v>
      </c>
      <c r="B959" t="s">
        <v>94</v>
      </c>
      <c r="C959" s="4">
        <f>(0.0181224344560457/(0.0328453630665826+0.350336698877979+0.0822572721273277+0.0181224344560457+0.178561789731549)) * 1.75833702180291%</f>
        <v>4.8125983484148912E-4</v>
      </c>
      <c r="D959" t="s">
        <v>256</v>
      </c>
      <c r="E959" t="s">
        <v>281</v>
      </c>
      <c r="F959" t="s">
        <v>364</v>
      </c>
      <c r="G959" s="4" t="s">
        <v>245</v>
      </c>
    </row>
    <row r="960" spans="1:7" hidden="1" x14ac:dyDescent="0.2">
      <c r="A960" t="s">
        <v>28</v>
      </c>
      <c r="B960" t="s">
        <v>94</v>
      </c>
      <c r="C960" s="4">
        <f>(0.178561789731549/(0.0328453630665826+0.350336698877979+0.0822572721273277+0.0181224344560457+0.178561789731549)) * 1.75833702180291%</f>
        <v>4.7418914739977402E-3</v>
      </c>
      <c r="D960" t="s">
        <v>256</v>
      </c>
      <c r="E960" t="s">
        <v>367</v>
      </c>
      <c r="F960" t="s">
        <v>364</v>
      </c>
      <c r="G960" s="4" t="s">
        <v>245</v>
      </c>
    </row>
    <row r="961" spans="1:7" hidden="1" x14ac:dyDescent="0.2">
      <c r="A961" t="s">
        <v>28</v>
      </c>
      <c r="B961" t="s">
        <v>95</v>
      </c>
      <c r="C961" s="4">
        <f>(0.0328453630665826/(0.0328453630665826+0.350336698877979+0.0822572721273277+0.0181224344560457+0.178561789731549)) * 0.561469604487704%</f>
        <v>2.7852313635730726E-4</v>
      </c>
      <c r="D961" t="s">
        <v>242</v>
      </c>
      <c r="E961" t="s">
        <v>371</v>
      </c>
      <c r="F961" t="s">
        <v>364</v>
      </c>
      <c r="G961" s="4" t="s">
        <v>245</v>
      </c>
    </row>
    <row r="962" spans="1:7" hidden="1" x14ac:dyDescent="0.2">
      <c r="A962" t="s">
        <v>28</v>
      </c>
      <c r="B962" t="s">
        <v>95</v>
      </c>
      <c r="C962" s="4">
        <f>(0.350336698877979/(0.0328453630665826+0.350336698877979+0.0822572721273277+0.0181224344560457+0.178561789731549)) * 0.561469604487704%</f>
        <v>2.9707960893827516E-3</v>
      </c>
      <c r="D962" t="s">
        <v>256</v>
      </c>
      <c r="E962" t="s">
        <v>369</v>
      </c>
      <c r="F962" t="s">
        <v>364</v>
      </c>
      <c r="G962" s="4" t="s">
        <v>245</v>
      </c>
    </row>
    <row r="963" spans="1:7" hidden="1" x14ac:dyDescent="0.2">
      <c r="A963" t="s">
        <v>28</v>
      </c>
      <c r="B963" t="s">
        <v>95</v>
      </c>
      <c r="C963" s="4">
        <f>(0.0822572721273277/(0.0328453630665826+0.350336698877979+0.0822572721273277+0.0181224344560457+0.178561789731549)) * 0.561469604487704%</f>
        <v>6.9752778724523784E-4</v>
      </c>
      <c r="D963" t="s">
        <v>256</v>
      </c>
      <c r="E963" t="s">
        <v>366</v>
      </c>
      <c r="F963" t="s">
        <v>364</v>
      </c>
      <c r="G963" s="4" t="s">
        <v>245</v>
      </c>
    </row>
    <row r="964" spans="1:7" hidden="1" x14ac:dyDescent="0.2">
      <c r="A964" t="s">
        <v>28</v>
      </c>
      <c r="B964" t="s">
        <v>95</v>
      </c>
      <c r="C964" s="4">
        <f>(0.0181224344560457/(0.0328453630665826+0.350336698877979+0.0822572721273277+0.0181224344560457+0.178561789731549)) * 0.561469604487704%</f>
        <v>1.5367518614105397E-4</v>
      </c>
      <c r="D964" t="s">
        <v>256</v>
      </c>
      <c r="E964" t="s">
        <v>281</v>
      </c>
      <c r="F964" t="s">
        <v>364</v>
      </c>
      <c r="G964" s="4" t="s">
        <v>245</v>
      </c>
    </row>
    <row r="965" spans="1:7" hidden="1" x14ac:dyDescent="0.2">
      <c r="A965" t="s">
        <v>28</v>
      </c>
      <c r="B965" t="s">
        <v>95</v>
      </c>
      <c r="C965" s="4">
        <f>(0.178561789731549/(0.0328453630665826+0.350336698877979+0.0822572721273277+0.0181224344560457+0.178561789731549)) * 0.561469604487704%</f>
        <v>1.5141738457506899E-3</v>
      </c>
      <c r="D965" t="s">
        <v>256</v>
      </c>
      <c r="E965" t="s">
        <v>367</v>
      </c>
      <c r="F965" t="s">
        <v>364</v>
      </c>
      <c r="G965" s="4" t="s">
        <v>245</v>
      </c>
    </row>
    <row r="966" spans="1:7" hidden="1" x14ac:dyDescent="0.2">
      <c r="A966" t="s">
        <v>28</v>
      </c>
      <c r="B966" t="s">
        <v>197</v>
      </c>
      <c r="C966" s="4">
        <f>(0.0328453630665826/(0.0328453630665826+0.350336698877979+0.0822572721273277+0.0181224344560457+0.178561789731549)) * 0.0655450944882474%</f>
        <v>3.2514360784248858E-5</v>
      </c>
      <c r="D966" t="s">
        <v>242</v>
      </c>
      <c r="E966" t="s">
        <v>371</v>
      </c>
      <c r="F966" t="s">
        <v>364</v>
      </c>
      <c r="G966" s="4" t="s">
        <v>245</v>
      </c>
    </row>
    <row r="967" spans="1:7" hidden="1" x14ac:dyDescent="0.2">
      <c r="A967" t="s">
        <v>28</v>
      </c>
      <c r="B967" t="s">
        <v>197</v>
      </c>
      <c r="C967" s="4">
        <f>(0.350336698877979/(0.0328453630665826+0.350336698877979+0.0822572721273277+0.0181224344560457+0.178561789731549)) * 0.0655450944882474%</f>
        <v>3.4680614734536829E-4</v>
      </c>
      <c r="D967" t="s">
        <v>256</v>
      </c>
      <c r="E967" t="s">
        <v>369</v>
      </c>
      <c r="F967" t="s">
        <v>364</v>
      </c>
      <c r="G967" s="4" t="s">
        <v>245</v>
      </c>
    </row>
    <row r="968" spans="1:7" hidden="1" x14ac:dyDescent="0.2">
      <c r="A968" t="s">
        <v>28</v>
      </c>
      <c r="B968" t="s">
        <v>197</v>
      </c>
      <c r="C968" s="4">
        <f>(0.0822572721273277/(0.0328453630665826+0.350336698877979+0.0822572721273277+0.0181224344560457+0.178561789731549)) * 0.0655450944882474%</f>
        <v>8.1428316613652932E-5</v>
      </c>
      <c r="D968" t="s">
        <v>256</v>
      </c>
      <c r="E968" t="s">
        <v>366</v>
      </c>
      <c r="F968" t="s">
        <v>364</v>
      </c>
      <c r="G968" s="4" t="s">
        <v>245</v>
      </c>
    </row>
    <row r="969" spans="1:7" hidden="1" x14ac:dyDescent="0.2">
      <c r="A969" t="s">
        <v>28</v>
      </c>
      <c r="B969" t="s">
        <v>197</v>
      </c>
      <c r="C969" s="4">
        <f>(0.0181224344560457/(0.0328453630665826+0.350336698877979+0.0822572721273277+0.0181224344560457+0.178561789731549)) * 0.0655450944882474%</f>
        <v>1.7939803892509691E-5</v>
      </c>
      <c r="D969" t="s">
        <v>256</v>
      </c>
      <c r="E969" t="s">
        <v>281</v>
      </c>
      <c r="F969" t="s">
        <v>364</v>
      </c>
      <c r="G969" s="4" t="s">
        <v>245</v>
      </c>
    </row>
    <row r="970" spans="1:7" hidden="1" x14ac:dyDescent="0.2">
      <c r="A970" t="s">
        <v>28</v>
      </c>
      <c r="B970" t="s">
        <v>197</v>
      </c>
      <c r="C970" s="4">
        <f>(0.178561789731549/(0.0328453630665826+0.350336698877979+0.0822572721273277+0.0181224344560457+0.178561789731549)) * 0.0655450944882474%</f>
        <v>1.7676231624669432E-4</v>
      </c>
      <c r="D970" t="s">
        <v>256</v>
      </c>
      <c r="E970" t="s">
        <v>367</v>
      </c>
      <c r="F970" t="s">
        <v>364</v>
      </c>
      <c r="G970" s="4" t="s">
        <v>245</v>
      </c>
    </row>
    <row r="971" spans="1:7" hidden="1" x14ac:dyDescent="0.2">
      <c r="A971" t="s">
        <v>28</v>
      </c>
      <c r="B971" t="s">
        <v>97</v>
      </c>
      <c r="C971" s="4">
        <f>(0.0328453630665826/(0.0328453630665826+0.350336698877979+0.0822572721273277+0.0181224344560457+0.178561789731549)) * 0.04358012999375%</f>
        <v>2.1618399984080042E-5</v>
      </c>
      <c r="D971" t="s">
        <v>242</v>
      </c>
      <c r="E971" t="s">
        <v>371</v>
      </c>
      <c r="F971" t="s">
        <v>364</v>
      </c>
      <c r="G971" s="4" t="s">
        <v>245</v>
      </c>
    </row>
    <row r="972" spans="1:7" hidden="1" x14ac:dyDescent="0.2">
      <c r="A972" t="s">
        <v>28</v>
      </c>
      <c r="B972" t="s">
        <v>97</v>
      </c>
      <c r="C972" s="4">
        <f>(0.350336698877979/(0.0328453630665826+0.350336698877979+0.0822572721273277+0.0181224344560457+0.178561789731549)) * 0.04358012999375%</f>
        <v>2.3058715685660906E-4</v>
      </c>
      <c r="D972" t="s">
        <v>256</v>
      </c>
      <c r="E972" t="s">
        <v>369</v>
      </c>
      <c r="F972" t="s">
        <v>364</v>
      </c>
      <c r="G972" s="4" t="s">
        <v>245</v>
      </c>
    </row>
    <row r="973" spans="1:7" hidden="1" x14ac:dyDescent="0.2">
      <c r="A973" t="s">
        <v>28</v>
      </c>
      <c r="B973" t="s">
        <v>97</v>
      </c>
      <c r="C973" s="4">
        <f>(0.0822572721273277/(0.0328453630665826+0.350336698877979+0.0822572721273277+0.0181224344560457+0.178561789731549)) * 0.04358012999375%</f>
        <v>5.4140689717542797E-5</v>
      </c>
      <c r="D973" t="s">
        <v>256</v>
      </c>
      <c r="E973" t="s">
        <v>366</v>
      </c>
      <c r="F973" t="s">
        <v>364</v>
      </c>
      <c r="G973" s="4" t="s">
        <v>245</v>
      </c>
    </row>
    <row r="974" spans="1:7" hidden="1" x14ac:dyDescent="0.2">
      <c r="A974" t="s">
        <v>28</v>
      </c>
      <c r="B974" t="s">
        <v>97</v>
      </c>
      <c r="C974" s="4">
        <f>(0.0181224344560457/(0.0328453630665826+0.350336698877979+0.0822572721273277+0.0181224344560457+0.178561789731549)) * 0.04358012999375%</f>
        <v>1.1927955734935115E-5</v>
      </c>
      <c r="D974" t="s">
        <v>256</v>
      </c>
      <c r="E974" t="s">
        <v>281</v>
      </c>
      <c r="F974" t="s">
        <v>364</v>
      </c>
      <c r="G974" s="4" t="s">
        <v>245</v>
      </c>
    </row>
    <row r="975" spans="1:7" hidden="1" x14ac:dyDescent="0.2">
      <c r="A975" t="s">
        <v>28</v>
      </c>
      <c r="B975" t="s">
        <v>97</v>
      </c>
      <c r="C975" s="4">
        <f>(0.178561789731549/(0.0328453630665826+0.350336698877979+0.0822572721273277+0.0181224344560457+0.178561789731549)) * 0.04358012999375%</f>
        <v>1.1752709764433301E-4</v>
      </c>
      <c r="D975" t="s">
        <v>256</v>
      </c>
      <c r="E975" t="s">
        <v>367</v>
      </c>
      <c r="F975" t="s">
        <v>364</v>
      </c>
      <c r="G975" s="4" t="s">
        <v>245</v>
      </c>
    </row>
    <row r="976" spans="1:7" hidden="1" x14ac:dyDescent="0.2">
      <c r="A976" t="s">
        <v>28</v>
      </c>
      <c r="B976" t="s">
        <v>98</v>
      </c>
      <c r="C976" s="4">
        <f>(0.0328453630665826/(0.0328453630665826+0.350336698877979+0.0822572721273277+0.0181224344560457+0.178561789731549)) * 2.94361282413777%</f>
        <v>1.4602113265748426E-3</v>
      </c>
      <c r="D976" t="s">
        <v>242</v>
      </c>
      <c r="E976" t="s">
        <v>371</v>
      </c>
      <c r="F976" t="s">
        <v>364</v>
      </c>
      <c r="G976" s="4" t="s">
        <v>245</v>
      </c>
    </row>
    <row r="977" spans="1:7" hidden="1" x14ac:dyDescent="0.2">
      <c r="A977" t="s">
        <v>28</v>
      </c>
      <c r="B977" t="s">
        <v>98</v>
      </c>
      <c r="C977" s="4">
        <f>(0.350336698877979/(0.0328453630665826+0.350336698877979+0.0822572721273277+0.0181224344560457+0.178561789731549)) * 2.94361282413777%</f>
        <v>1.5574972174289646E-2</v>
      </c>
      <c r="D977" t="s">
        <v>256</v>
      </c>
      <c r="E977" t="s">
        <v>369</v>
      </c>
      <c r="F977" t="s">
        <v>364</v>
      </c>
      <c r="G977" s="4" t="s">
        <v>245</v>
      </c>
    </row>
    <row r="978" spans="1:7" hidden="1" x14ac:dyDescent="0.2">
      <c r="A978" t="s">
        <v>28</v>
      </c>
      <c r="B978" t="s">
        <v>98</v>
      </c>
      <c r="C978" s="4">
        <f>(0.0822572721273277/(0.0328453630665826+0.350336698877979+0.0822572721273277+0.0181224344560457+0.178561789731549)) * 2.94361282413777%</f>
        <v>3.6569241207650973E-3</v>
      </c>
      <c r="D978" t="s">
        <v>256</v>
      </c>
      <c r="E978" t="s">
        <v>366</v>
      </c>
      <c r="F978" t="s">
        <v>364</v>
      </c>
      <c r="G978" s="4" t="s">
        <v>245</v>
      </c>
    </row>
    <row r="979" spans="1:7" hidden="1" x14ac:dyDescent="0.2">
      <c r="A979" t="s">
        <v>28</v>
      </c>
      <c r="B979" t="s">
        <v>98</v>
      </c>
      <c r="C979" s="4">
        <f>(0.0181224344560457/(0.0328453630665826+0.350336698877979+0.0822572721273277+0.0181224344560457+0.178561789731549)) * 2.94361282413777%</f>
        <v>8.0567183879759225E-4</v>
      </c>
      <c r="D979" t="s">
        <v>256</v>
      </c>
      <c r="E979" t="s">
        <v>281</v>
      </c>
      <c r="F979" t="s">
        <v>364</v>
      </c>
      <c r="G979" s="4" t="s">
        <v>245</v>
      </c>
    </row>
    <row r="980" spans="1:7" hidden="1" x14ac:dyDescent="0.2">
      <c r="A980" t="s">
        <v>28</v>
      </c>
      <c r="B980" t="s">
        <v>98</v>
      </c>
      <c r="C980" s="4">
        <f>(0.178561789731549/(0.0328453630665826+0.350336698877979+0.0822572721273277+0.0181224344560457+0.178561789731549)) * 2.94361282413777%</f>
        <v>7.9383487809505208E-3</v>
      </c>
      <c r="D980" t="s">
        <v>256</v>
      </c>
      <c r="E980" t="s">
        <v>367</v>
      </c>
      <c r="F980" t="s">
        <v>364</v>
      </c>
      <c r="G980" s="4" t="s">
        <v>245</v>
      </c>
    </row>
    <row r="981" spans="1:7" hidden="1" x14ac:dyDescent="0.2">
      <c r="A981" t="s">
        <v>28</v>
      </c>
      <c r="B981" t="s">
        <v>99</v>
      </c>
      <c r="C981" s="4">
        <f>(0.0328453630665826/(0.0328453630665826+0.350336698877979+0.0822572721273277+0.0181224344560457+0.178561789731549)) * 0.221694159762006%</f>
        <v>1.0997381193119261E-4</v>
      </c>
      <c r="D981" t="s">
        <v>242</v>
      </c>
      <c r="E981" t="s">
        <v>371</v>
      </c>
      <c r="F981" t="s">
        <v>364</v>
      </c>
      <c r="G981" s="4" t="s">
        <v>245</v>
      </c>
    </row>
    <row r="982" spans="1:7" hidden="1" x14ac:dyDescent="0.2">
      <c r="A982" t="s">
        <v>28</v>
      </c>
      <c r="B982" t="s">
        <v>99</v>
      </c>
      <c r="C982" s="4">
        <f>(0.350336698877979/(0.0328453630665826+0.350336698877979+0.0822572721273277+0.0181224344560457+0.178561789731549)) * 0.221694159762006%</f>
        <v>1.1730076527666879E-3</v>
      </c>
      <c r="D982" t="s">
        <v>256</v>
      </c>
      <c r="E982" t="s">
        <v>369</v>
      </c>
      <c r="F982" t="s">
        <v>364</v>
      </c>
      <c r="G982" s="4" t="s">
        <v>245</v>
      </c>
    </row>
    <row r="983" spans="1:7" hidden="1" x14ac:dyDescent="0.2">
      <c r="A983" t="s">
        <v>28</v>
      </c>
      <c r="B983" t="s">
        <v>99</v>
      </c>
      <c r="C983" s="4">
        <f>(0.0822572721273277/(0.0328453630665826+0.350336698877979+0.0822572721273277+0.0181224344560457+0.178561789731549)) * 0.221694159762006%</f>
        <v>2.7541622105274762E-4</v>
      </c>
      <c r="D983" t="s">
        <v>256</v>
      </c>
      <c r="E983" t="s">
        <v>366</v>
      </c>
      <c r="F983" t="s">
        <v>364</v>
      </c>
      <c r="G983" s="4" t="s">
        <v>245</v>
      </c>
    </row>
    <row r="984" spans="1:7" hidden="1" x14ac:dyDescent="0.2">
      <c r="A984" t="s">
        <v>28</v>
      </c>
      <c r="B984" t="s">
        <v>99</v>
      </c>
      <c r="C984" s="4">
        <f>(0.0181224344560457/(0.0328453630665826+0.350336698877979+0.0822572721273277+0.0181224344560457+0.178561789731549)) * 0.221694159762006%</f>
        <v>6.0678068760099588E-5</v>
      </c>
      <c r="D984" t="s">
        <v>256</v>
      </c>
      <c r="E984" t="s">
        <v>281</v>
      </c>
      <c r="F984" t="s">
        <v>364</v>
      </c>
      <c r="G984" s="4" t="s">
        <v>245</v>
      </c>
    </row>
    <row r="985" spans="1:7" hidden="1" x14ac:dyDescent="0.2">
      <c r="A985" t="s">
        <v>28</v>
      </c>
      <c r="B985" t="s">
        <v>99</v>
      </c>
      <c r="C985" s="4">
        <f>(0.178561789731549/(0.0328453630665826+0.350336698877979+0.0822572721273277+0.0181224344560457+0.178561789731549)) * 0.221694159762006%</f>
        <v>5.9786584310933218E-4</v>
      </c>
      <c r="D985" t="s">
        <v>256</v>
      </c>
      <c r="E985" t="s">
        <v>367</v>
      </c>
      <c r="F985" t="s">
        <v>364</v>
      </c>
      <c r="G985" s="4" t="s">
        <v>245</v>
      </c>
    </row>
    <row r="986" spans="1:7" hidden="1" x14ac:dyDescent="0.2">
      <c r="A986" t="s">
        <v>28</v>
      </c>
      <c r="B986" t="s">
        <v>100</v>
      </c>
      <c r="C986" s="4">
        <f>(0.0328453630665826/(0.0328453630665826+0.350336698877979+0.0822572721273277+0.0181224344560457+0.178561789731549)) * 0.981692787102501%</f>
        <v>4.869794407706407E-4</v>
      </c>
      <c r="D986" t="s">
        <v>242</v>
      </c>
      <c r="E986" t="s">
        <v>371</v>
      </c>
      <c r="F986" t="s">
        <v>364</v>
      </c>
      <c r="G986" s="4" t="s">
        <v>245</v>
      </c>
    </row>
    <row r="987" spans="1:7" hidden="1" x14ac:dyDescent="0.2">
      <c r="A987" t="s">
        <v>28</v>
      </c>
      <c r="B987" t="s">
        <v>100</v>
      </c>
      <c r="C987" s="4">
        <f>(0.350336698877979/(0.0328453630665826+0.350336698877979+0.0822572721273277+0.0181224344560457+0.178561789731549)) * 0.981692787102501%</f>
        <v>5.1942421630470159E-3</v>
      </c>
      <c r="D987" t="s">
        <v>256</v>
      </c>
      <c r="E987" t="s">
        <v>369</v>
      </c>
      <c r="F987" t="s">
        <v>364</v>
      </c>
      <c r="G987" s="4" t="s">
        <v>245</v>
      </c>
    </row>
    <row r="988" spans="1:7" hidden="1" x14ac:dyDescent="0.2">
      <c r="A988" t="s">
        <v>28</v>
      </c>
      <c r="B988" t="s">
        <v>100</v>
      </c>
      <c r="C988" s="4">
        <f>(0.0822572721273277/(0.0328453630665826+0.350336698877979+0.0822572721273277+0.0181224344560457+0.178561789731549)) * 0.981692787102501%</f>
        <v>1.2195815981294387E-3</v>
      </c>
      <c r="D988" t="s">
        <v>256</v>
      </c>
      <c r="E988" t="s">
        <v>366</v>
      </c>
      <c r="F988" t="s">
        <v>364</v>
      </c>
      <c r="G988" s="4" t="s">
        <v>245</v>
      </c>
    </row>
    <row r="989" spans="1:7" hidden="1" x14ac:dyDescent="0.2">
      <c r="A989" t="s">
        <v>28</v>
      </c>
      <c r="B989" t="s">
        <v>100</v>
      </c>
      <c r="C989" s="4">
        <f>(0.0181224344560457/(0.0328453630665826+0.350336698877979+0.0822572721273277+0.0181224344560457+0.178561789731549)) * 0.981692787102501%</f>
        <v>2.6869098627156537E-4</v>
      </c>
      <c r="D989" t="s">
        <v>256</v>
      </c>
      <c r="E989" t="s">
        <v>281</v>
      </c>
      <c r="F989" t="s">
        <v>364</v>
      </c>
      <c r="G989" s="4" t="s">
        <v>245</v>
      </c>
    </row>
    <row r="990" spans="1:7" hidden="1" x14ac:dyDescent="0.2">
      <c r="A990" t="s">
        <v>28</v>
      </c>
      <c r="B990" t="s">
        <v>100</v>
      </c>
      <c r="C990" s="4">
        <f>(0.178561789731549/(0.0328453630665826+0.350336698877979+0.0822572721273277+0.0181224344560457+0.178561789731549)) * 0.981692787102501%</f>
        <v>2.6474336828063503E-3</v>
      </c>
      <c r="D990" t="s">
        <v>256</v>
      </c>
      <c r="E990" t="s">
        <v>367</v>
      </c>
      <c r="F990" t="s">
        <v>364</v>
      </c>
      <c r="G990" s="4" t="s">
        <v>245</v>
      </c>
    </row>
    <row r="991" spans="1:7" hidden="1" x14ac:dyDescent="0.2">
      <c r="A991" t="s">
        <v>28</v>
      </c>
      <c r="B991" t="s">
        <v>119</v>
      </c>
      <c r="C991" s="4">
        <f>(0.0328453630665826/(0.0328453630665826+0.350336698877979+0.0822572721273277+0.0181224344560457+0.178561789731549)) * 0.198715984384732%</f>
        <v>9.8575236794278397E-5</v>
      </c>
      <c r="D991" t="s">
        <v>242</v>
      </c>
      <c r="E991" t="s">
        <v>371</v>
      </c>
      <c r="F991" t="s">
        <v>364</v>
      </c>
      <c r="G991" s="4" t="s">
        <v>245</v>
      </c>
    </row>
    <row r="992" spans="1:7" hidden="1" x14ac:dyDescent="0.2">
      <c r="A992" t="s">
        <v>28</v>
      </c>
      <c r="B992" t="s">
        <v>119</v>
      </c>
      <c r="C992" s="4">
        <f>(0.350336698877979/(0.0328453630665826+0.350336698877979+0.0822572721273277+0.0181224344560457+0.178561789731549)) * 0.198715984384732%</f>
        <v>1.0514276544794404E-3</v>
      </c>
      <c r="D992" t="s">
        <v>256</v>
      </c>
      <c r="E992" t="s">
        <v>369</v>
      </c>
      <c r="F992" t="s">
        <v>364</v>
      </c>
      <c r="G992" s="4" t="s">
        <v>245</v>
      </c>
    </row>
    <row r="993" spans="1:7" hidden="1" x14ac:dyDescent="0.2">
      <c r="A993" t="s">
        <v>28</v>
      </c>
      <c r="B993" t="s">
        <v>119</v>
      </c>
      <c r="C993" s="4">
        <f>(0.0822572721273277/(0.0328453630665826+0.350336698877979+0.0822572721273277+0.0181224344560457+0.178561789731549)) * 0.198715984384732%</f>
        <v>2.4686985683688398E-4</v>
      </c>
      <c r="D993" t="s">
        <v>256</v>
      </c>
      <c r="E993" t="s">
        <v>366</v>
      </c>
      <c r="F993" t="s">
        <v>364</v>
      </c>
      <c r="G993" s="4" t="s">
        <v>245</v>
      </c>
    </row>
    <row r="994" spans="1:7" hidden="1" x14ac:dyDescent="0.2">
      <c r="A994" t="s">
        <v>28</v>
      </c>
      <c r="B994" t="s">
        <v>119</v>
      </c>
      <c r="C994" s="4">
        <f>(0.0181224344560457/(0.0328453630665826+0.350336698877979+0.0822572721273277+0.0181224344560457+0.178561789731549)) * 0.198715984384732%</f>
        <v>5.4388903059836486E-5</v>
      </c>
      <c r="D994" t="s">
        <v>256</v>
      </c>
      <c r="E994" t="s">
        <v>281</v>
      </c>
      <c r="F994" t="s">
        <v>364</v>
      </c>
      <c r="G994" s="4" t="s">
        <v>245</v>
      </c>
    </row>
    <row r="995" spans="1:7" hidden="1" x14ac:dyDescent="0.2">
      <c r="A995" t="s">
        <v>28</v>
      </c>
      <c r="B995" t="s">
        <v>119</v>
      </c>
      <c r="C995" s="4">
        <f>(0.178561789731549/(0.0328453630665826+0.350336698877979+0.0822572721273277+0.0181224344560457+0.178561789731549)) * 0.198715984384732%</f>
        <v>5.3589819267688089E-4</v>
      </c>
      <c r="D995" t="s">
        <v>256</v>
      </c>
      <c r="E995" t="s">
        <v>367</v>
      </c>
      <c r="F995" t="s">
        <v>364</v>
      </c>
      <c r="G995" s="4" t="s">
        <v>245</v>
      </c>
    </row>
    <row r="996" spans="1:7" hidden="1" x14ac:dyDescent="0.2">
      <c r="A996" t="s">
        <v>28</v>
      </c>
      <c r="B996" t="s">
        <v>102</v>
      </c>
      <c r="C996" s="4">
        <f>(0.0328453630665826/(0.0328453630665826+0.350336698877979+0.0822572721273277+0.0181224344560457+0.178561789731549)) * 3.16027711558885%</f>
        <v>1.567690017334335E-3</v>
      </c>
      <c r="D996" t="s">
        <v>242</v>
      </c>
      <c r="E996" t="s">
        <v>371</v>
      </c>
      <c r="F996" t="s">
        <v>364</v>
      </c>
      <c r="G996" s="4" t="s">
        <v>245</v>
      </c>
    </row>
    <row r="997" spans="1:7" hidden="1" x14ac:dyDescent="0.2">
      <c r="A997" t="s">
        <v>28</v>
      </c>
      <c r="B997" t="s">
        <v>102</v>
      </c>
      <c r="C997" s="4">
        <f>(0.350336698877979/(0.0328453630665826+0.350336698877979+0.0822572721273277+0.0181224344560457+0.178561789731549)) * 3.16027711558885%</f>
        <v>1.6721366252628128E-2</v>
      </c>
      <c r="D997" t="s">
        <v>256</v>
      </c>
      <c r="E997" t="s">
        <v>369</v>
      </c>
      <c r="F997" t="s">
        <v>364</v>
      </c>
      <c r="G997" s="4" t="s">
        <v>245</v>
      </c>
    </row>
    <row r="998" spans="1:7" hidden="1" x14ac:dyDescent="0.2">
      <c r="A998" t="s">
        <v>28</v>
      </c>
      <c r="B998" t="s">
        <v>102</v>
      </c>
      <c r="C998" s="4">
        <f>(0.0822572721273277/(0.0328453630665826+0.350336698877979+0.0822572721273277+0.0181224344560457+0.178561789731549)) * 3.16027711558885%</f>
        <v>3.9260916101233551E-3</v>
      </c>
      <c r="D998" t="s">
        <v>256</v>
      </c>
      <c r="E998" t="s">
        <v>366</v>
      </c>
      <c r="F998" t="s">
        <v>364</v>
      </c>
      <c r="G998" s="4" t="s">
        <v>245</v>
      </c>
    </row>
    <row r="999" spans="1:7" hidden="1" x14ac:dyDescent="0.2">
      <c r="A999" t="s">
        <v>28</v>
      </c>
      <c r="B999" t="s">
        <v>102</v>
      </c>
      <c r="C999" s="4">
        <f>(0.0181224344560457/(0.0328453630665826+0.350336698877979+0.0822572721273277+0.0181224344560457+0.178561789731549)) * 3.16027711558885%</f>
        <v>8.6497322404220243E-4</v>
      </c>
      <c r="D999" t="s">
        <v>256</v>
      </c>
      <c r="E999" t="s">
        <v>281</v>
      </c>
      <c r="F999" t="s">
        <v>364</v>
      </c>
      <c r="G999" s="4" t="s">
        <v>245</v>
      </c>
    </row>
    <row r="1000" spans="1:7" hidden="1" x14ac:dyDescent="0.2">
      <c r="A1000" t="s">
        <v>28</v>
      </c>
      <c r="B1000" t="s">
        <v>102</v>
      </c>
      <c r="C1000" s="4">
        <f>(0.178561789731549/(0.0328453630665826+0.350336698877979+0.0822572721273277+0.0181224344560457+0.178561789731549)) * 3.16027711558885%</f>
        <v>8.5226500517604793E-3</v>
      </c>
      <c r="D1000" t="s">
        <v>256</v>
      </c>
      <c r="E1000" t="s">
        <v>367</v>
      </c>
      <c r="F1000" t="s">
        <v>364</v>
      </c>
      <c r="G1000" s="4" t="s">
        <v>245</v>
      </c>
    </row>
    <row r="1001" spans="1:7" hidden="1" x14ac:dyDescent="0.2">
      <c r="A1001" t="s">
        <v>28</v>
      </c>
      <c r="B1001" t="s">
        <v>198</v>
      </c>
      <c r="C1001" s="4">
        <f>(0.0328453630665826/(0.0328453630665826+0.350336698877979+0.0822572721273277+0.0181224344560457+0.178561789731549)) * 0.0109282030928142%</f>
        <v>5.4210546320444559E-6</v>
      </c>
      <c r="D1001" t="s">
        <v>242</v>
      </c>
      <c r="E1001" t="s">
        <v>371</v>
      </c>
      <c r="F1001" t="s">
        <v>364</v>
      </c>
      <c r="G1001" s="4" t="s">
        <v>245</v>
      </c>
    </row>
    <row r="1002" spans="1:7" hidden="1" x14ac:dyDescent="0.2">
      <c r="A1002" t="s">
        <v>28</v>
      </c>
      <c r="B1002" t="s">
        <v>198</v>
      </c>
      <c r="C1002" s="4">
        <f>(0.350336698877979/(0.0328453630665826+0.350336698877979+0.0822572721273277+0.0181224344560457+0.178561789731549)) * 0.0109282030928142%</f>
        <v>5.7822298398031792E-5</v>
      </c>
      <c r="D1002" t="s">
        <v>256</v>
      </c>
      <c r="E1002" t="s">
        <v>369</v>
      </c>
      <c r="F1002" t="s">
        <v>364</v>
      </c>
      <c r="G1002" s="4" t="s">
        <v>245</v>
      </c>
    </row>
    <row r="1003" spans="1:7" hidden="1" x14ac:dyDescent="0.2">
      <c r="A1003" t="s">
        <v>28</v>
      </c>
      <c r="B1003" t="s">
        <v>198</v>
      </c>
      <c r="C1003" s="4">
        <f>(0.0822572721273277/(0.0328453630665826+0.350336698877979+0.0822572721273277+0.0181224344560457+0.178561789731549)) * 0.0109282030928142%</f>
        <v>1.3576381091639641E-5</v>
      </c>
      <c r="D1003" t="s">
        <v>256</v>
      </c>
      <c r="E1003" t="s">
        <v>366</v>
      </c>
      <c r="F1003" t="s">
        <v>364</v>
      </c>
      <c r="G1003" s="4" t="s">
        <v>245</v>
      </c>
    </row>
    <row r="1004" spans="1:7" hidden="1" x14ac:dyDescent="0.2">
      <c r="A1004" t="s">
        <v>28</v>
      </c>
      <c r="B1004" t="s">
        <v>198</v>
      </c>
      <c r="C1004" s="4">
        <f>(0.0181224344560457/(0.0328453630665826+0.350336698877979+0.0822572721273277+0.0181224344560457+0.178561789731549)) * 0.0109282030928142%</f>
        <v>2.991067781857534E-6</v>
      </c>
      <c r="D1004" t="s">
        <v>256</v>
      </c>
      <c r="E1004" t="s">
        <v>281</v>
      </c>
      <c r="F1004" t="s">
        <v>364</v>
      </c>
      <c r="G1004" s="4" t="s">
        <v>245</v>
      </c>
    </row>
    <row r="1005" spans="1:7" hidden="1" x14ac:dyDescent="0.2">
      <c r="A1005" t="s">
        <v>28</v>
      </c>
      <c r="B1005" t="s">
        <v>198</v>
      </c>
      <c r="C1005" s="4">
        <f>(0.178561789731549/(0.0328453630665826+0.350336698877979+0.0822572721273277+0.0181224344560457+0.178561789731549)) * 0.0109282030928142%</f>
        <v>2.9471229024568573E-5</v>
      </c>
      <c r="D1005" t="s">
        <v>256</v>
      </c>
      <c r="E1005" t="s">
        <v>367</v>
      </c>
      <c r="F1005" t="s">
        <v>364</v>
      </c>
      <c r="G1005" s="4" t="s">
        <v>245</v>
      </c>
    </row>
    <row r="1006" spans="1:7" hidden="1" x14ac:dyDescent="0.2">
      <c r="A1006" t="s">
        <v>28</v>
      </c>
      <c r="B1006" t="s">
        <v>148</v>
      </c>
      <c r="C1006" s="4">
        <f>(0.0328453630665826/(0.0328453630665826+0.350336698877979+0.0822572721273277+0.0181224344560457+0.178561789731549)) * 0.00635669208599676%</f>
        <v>3.1533066126792698E-6</v>
      </c>
      <c r="D1006" t="s">
        <v>242</v>
      </c>
      <c r="E1006" t="s">
        <v>371</v>
      </c>
      <c r="F1006" t="s">
        <v>364</v>
      </c>
      <c r="G1006" s="4" t="s">
        <v>245</v>
      </c>
    </row>
    <row r="1007" spans="1:7" hidden="1" x14ac:dyDescent="0.2">
      <c r="A1007" t="s">
        <v>28</v>
      </c>
      <c r="B1007" t="s">
        <v>148</v>
      </c>
      <c r="C1007" s="4">
        <f>(0.350336698877979/(0.0328453630665826+0.350336698877979+0.0822572721273277+0.0181224344560457+0.178561789731549)) * 0.00635669208599676%</f>
        <v>3.3633941783402486E-5</v>
      </c>
      <c r="D1007" t="s">
        <v>256</v>
      </c>
      <c r="E1007" t="s">
        <v>369</v>
      </c>
      <c r="F1007" t="s">
        <v>364</v>
      </c>
      <c r="G1007" s="4" t="s">
        <v>245</v>
      </c>
    </row>
    <row r="1008" spans="1:7" hidden="1" x14ac:dyDescent="0.2">
      <c r="A1008" t="s">
        <v>28</v>
      </c>
      <c r="B1008" t="s">
        <v>148</v>
      </c>
      <c r="C1008" s="4">
        <f>(0.0822572721273277/(0.0328453630665826+0.350336698877979+0.0822572721273277+0.0181224344560457+0.178561789731549)) * 0.00635669208599676%</f>
        <v>7.8970781846512894E-6</v>
      </c>
      <c r="D1008" t="s">
        <v>256</v>
      </c>
      <c r="E1008" t="s">
        <v>366</v>
      </c>
      <c r="F1008" t="s">
        <v>364</v>
      </c>
      <c r="G1008" s="4" t="s">
        <v>245</v>
      </c>
    </row>
    <row r="1009" spans="1:7" hidden="1" x14ac:dyDescent="0.2">
      <c r="A1009" t="s">
        <v>28</v>
      </c>
      <c r="B1009" t="s">
        <v>148</v>
      </c>
      <c r="C1009" s="4">
        <f>(0.0181224344560457/(0.0328453630665826+0.350336698877979+0.0822572721273277+0.0181224344560457+0.178561789731549)) * 0.00635669208599676%</f>
        <v>1.7398374404403037E-6</v>
      </c>
      <c r="D1009" t="s">
        <v>256</v>
      </c>
      <c r="E1009" t="s">
        <v>281</v>
      </c>
      <c r="F1009" t="s">
        <v>364</v>
      </c>
      <c r="G1009" s="4" t="s">
        <v>245</v>
      </c>
    </row>
    <row r="1010" spans="1:7" hidden="1" x14ac:dyDescent="0.2">
      <c r="A1010" t="s">
        <v>28</v>
      </c>
      <c r="B1010" t="s">
        <v>148</v>
      </c>
      <c r="C1010" s="4">
        <f>(0.178561789731549/(0.0328453630665826+0.350336698877979+0.0822572721273277+0.0181224344560457+0.178561789731549)) * 0.00635669208599676%</f>
        <v>1.7142756838794245E-5</v>
      </c>
      <c r="D1010" t="s">
        <v>256</v>
      </c>
      <c r="E1010" t="s">
        <v>367</v>
      </c>
      <c r="F1010" t="s">
        <v>364</v>
      </c>
      <c r="G1010" s="4" t="s">
        <v>245</v>
      </c>
    </row>
    <row r="1011" spans="1:7" hidden="1" x14ac:dyDescent="0.2">
      <c r="A1011" t="s">
        <v>28</v>
      </c>
      <c r="B1011" t="s">
        <v>149</v>
      </c>
      <c r="C1011" s="4">
        <f>(0.0328453630665826/(0.0328453630665826+0.350336698877979+0.0822572721273277+0.0181224344560457+0.178561789731549)) * 0.301550857969486%</f>
        <v>1.4958760022197687E-4</v>
      </c>
      <c r="D1011" t="s">
        <v>242</v>
      </c>
      <c r="E1011" t="s">
        <v>371</v>
      </c>
      <c r="F1011" t="s">
        <v>364</v>
      </c>
      <c r="G1011" s="4" t="s">
        <v>245</v>
      </c>
    </row>
    <row r="1012" spans="1:7" hidden="1" x14ac:dyDescent="0.2">
      <c r="A1012" t="s">
        <v>28</v>
      </c>
      <c r="B1012" t="s">
        <v>149</v>
      </c>
      <c r="C1012" s="4">
        <f>(0.350336698877979/(0.0328453630665826+0.350336698877979+0.0822572721273277+0.0181224344560457+0.178561789731549)) * 0.301550857969486%</f>
        <v>1.5955380352657741E-3</v>
      </c>
      <c r="D1012" t="s">
        <v>256</v>
      </c>
      <c r="E1012" t="s">
        <v>369</v>
      </c>
      <c r="F1012" t="s">
        <v>364</v>
      </c>
      <c r="G1012" s="4" t="s">
        <v>245</v>
      </c>
    </row>
    <row r="1013" spans="1:7" hidden="1" x14ac:dyDescent="0.2">
      <c r="A1013" t="s">
        <v>28</v>
      </c>
      <c r="B1013" t="s">
        <v>149</v>
      </c>
      <c r="C1013" s="4">
        <f>(0.0822572721273277/(0.0328453630665826+0.350336698877979+0.0822572721273277+0.0181224344560457+0.178561789731549)) * 0.301550857969486%</f>
        <v>3.7462420230793619E-4</v>
      </c>
      <c r="D1013" t="s">
        <v>256</v>
      </c>
      <c r="E1013" t="s">
        <v>366</v>
      </c>
      <c r="F1013" t="s">
        <v>364</v>
      </c>
      <c r="G1013" s="4" t="s">
        <v>245</v>
      </c>
    </row>
    <row r="1014" spans="1:7" hidden="1" x14ac:dyDescent="0.2">
      <c r="A1014" t="s">
        <v>28</v>
      </c>
      <c r="B1014" t="s">
        <v>149</v>
      </c>
      <c r="C1014" s="4">
        <f>(0.0181224344560457/(0.0328453630665826+0.350336698877979+0.0822572721273277+0.0181224344560457+0.178561789731549)) * 0.301550857969486%</f>
        <v>8.2534982943088475E-5</v>
      </c>
      <c r="D1014" t="s">
        <v>256</v>
      </c>
      <c r="E1014" t="s">
        <v>281</v>
      </c>
      <c r="F1014" t="s">
        <v>364</v>
      </c>
      <c r="G1014" s="4" t="s">
        <v>245</v>
      </c>
    </row>
    <row r="1015" spans="1:7" hidden="1" x14ac:dyDescent="0.2">
      <c r="A1015" t="s">
        <v>28</v>
      </c>
      <c r="B1015" t="s">
        <v>149</v>
      </c>
      <c r="C1015" s="4">
        <f>(0.178561789731549/(0.0328453630665826+0.350336698877979+0.0822572721273277+0.0181224344560457+0.178561789731549)) * 0.301550857969486%</f>
        <v>8.1322375895608446E-4</v>
      </c>
      <c r="D1015" t="s">
        <v>256</v>
      </c>
      <c r="E1015" t="s">
        <v>367</v>
      </c>
      <c r="F1015" t="s">
        <v>364</v>
      </c>
      <c r="G1015" s="4" t="s">
        <v>245</v>
      </c>
    </row>
    <row r="1016" spans="1:7" hidden="1" x14ac:dyDescent="0.2">
      <c r="A1016" t="s">
        <v>28</v>
      </c>
      <c r="B1016" t="s">
        <v>170</v>
      </c>
      <c r="C1016" s="4">
        <f>(0.0328453630665826/(0.0328453630665826+0.350336698877979+0.0822572721273277+0.0181224344560457+0.178561789731549)) * 0.604307919370849%</f>
        <v>2.9977355084484123E-4</v>
      </c>
      <c r="D1016" t="s">
        <v>242</v>
      </c>
      <c r="E1016" t="s">
        <v>371</v>
      </c>
      <c r="F1016" t="s">
        <v>364</v>
      </c>
      <c r="G1016" s="4" t="s">
        <v>245</v>
      </c>
    </row>
    <row r="1017" spans="1:7" hidden="1" x14ac:dyDescent="0.2">
      <c r="A1017" t="s">
        <v>28</v>
      </c>
      <c r="B1017" t="s">
        <v>170</v>
      </c>
      <c r="C1017" s="4">
        <f>(0.350336698877979/(0.0328453630665826+0.350336698877979+0.0822572721273277+0.0181224344560457+0.178561789731549)) * 0.604307919370849%</f>
        <v>3.1974582226726063E-3</v>
      </c>
      <c r="D1017" t="s">
        <v>256</v>
      </c>
      <c r="E1017" t="s">
        <v>369</v>
      </c>
      <c r="F1017" t="s">
        <v>364</v>
      </c>
      <c r="G1017" s="4" t="s">
        <v>245</v>
      </c>
    </row>
    <row r="1018" spans="1:7" hidden="1" x14ac:dyDescent="0.2">
      <c r="A1018" t="s">
        <v>28</v>
      </c>
      <c r="B1018" t="s">
        <v>170</v>
      </c>
      <c r="C1018" s="4">
        <f>(0.0822572721273277/(0.0328453630665826+0.350336698877979+0.0822572721273277+0.0181224344560457+0.178561789731549)) * 0.604307919370849%</f>
        <v>7.5074690142510302E-4</v>
      </c>
      <c r="D1018" t="s">
        <v>256</v>
      </c>
      <c r="E1018" t="s">
        <v>366</v>
      </c>
      <c r="F1018" t="s">
        <v>364</v>
      </c>
      <c r="G1018" s="4" t="s">
        <v>245</v>
      </c>
    </row>
    <row r="1019" spans="1:7" hidden="1" x14ac:dyDescent="0.2">
      <c r="A1019" t="s">
        <v>28</v>
      </c>
      <c r="B1019" t="s">
        <v>170</v>
      </c>
      <c r="C1019" s="4">
        <f>(0.0181224344560457/(0.0328453630665826+0.350336698877979+0.0822572721273277+0.0181224344560457+0.178561789731549)) * 0.604307919370849%</f>
        <v>1.6540010581794906E-4</v>
      </c>
      <c r="D1019" t="s">
        <v>256</v>
      </c>
      <c r="E1019" t="s">
        <v>281</v>
      </c>
      <c r="F1019" t="s">
        <v>364</v>
      </c>
      <c r="G1019" s="4" t="s">
        <v>245</v>
      </c>
    </row>
    <row r="1020" spans="1:7" hidden="1" x14ac:dyDescent="0.2">
      <c r="A1020" t="s">
        <v>28</v>
      </c>
      <c r="B1020" t="s">
        <v>170</v>
      </c>
      <c r="C1020" s="4">
        <f>(0.178561789731549/(0.0328453630665826+0.350336698877979+0.0822572721273277+0.0181224344560457+0.178561789731549)) * 0.604307919370849%</f>
        <v>1.6297004129479907E-3</v>
      </c>
      <c r="D1020" t="s">
        <v>256</v>
      </c>
      <c r="E1020" t="s">
        <v>367</v>
      </c>
      <c r="F1020" t="s">
        <v>364</v>
      </c>
      <c r="G1020" s="4" t="s">
        <v>245</v>
      </c>
    </row>
    <row r="1021" spans="1:7" hidden="1" x14ac:dyDescent="0.2">
      <c r="A1021" t="s">
        <v>28</v>
      </c>
      <c r="B1021" t="s">
        <v>171</v>
      </c>
      <c r="C1021" s="4">
        <f>(0.0328453630665826/(0.0328453630665826+0.350336698877979+0.0822572721273277+0.0181224344560457+0.178561789731549)) * 0.143284905672781%</f>
        <v>7.1078044121474553E-5</v>
      </c>
      <c r="D1021" t="s">
        <v>242</v>
      </c>
      <c r="E1021" t="s">
        <v>371</v>
      </c>
      <c r="F1021" t="s">
        <v>364</v>
      </c>
      <c r="G1021" s="4" t="s">
        <v>245</v>
      </c>
    </row>
    <row r="1022" spans="1:7" hidden="1" x14ac:dyDescent="0.2">
      <c r="A1022" t="s">
        <v>28</v>
      </c>
      <c r="B1022" t="s">
        <v>171</v>
      </c>
      <c r="C1022" s="4">
        <f>(0.350336698877979/(0.0328453630665826+0.350336698877979+0.0822572721273277+0.0181224344560457+0.178561789731549)) * 0.143284905672781%</f>
        <v>7.5813585283688526E-4</v>
      </c>
      <c r="D1022" t="s">
        <v>256</v>
      </c>
      <c r="E1022" t="s">
        <v>369</v>
      </c>
      <c r="F1022" t="s">
        <v>364</v>
      </c>
      <c r="G1022" s="4" t="s">
        <v>245</v>
      </c>
    </row>
    <row r="1023" spans="1:7" hidden="1" x14ac:dyDescent="0.2">
      <c r="A1023" t="s">
        <v>28</v>
      </c>
      <c r="B1023" t="s">
        <v>171</v>
      </c>
      <c r="C1023" s="4">
        <f>(0.0822572721273277/(0.0328453630665826+0.350336698877979+0.0822572721273277+0.0181224344560457+0.178561789731549)) * 0.143284905672781%</f>
        <v>1.7800643596863901E-4</v>
      </c>
      <c r="D1023" t="s">
        <v>256</v>
      </c>
      <c r="E1023" t="s">
        <v>366</v>
      </c>
      <c r="F1023" t="s">
        <v>364</v>
      </c>
      <c r="G1023" s="4" t="s">
        <v>245</v>
      </c>
    </row>
    <row r="1024" spans="1:7" hidden="1" x14ac:dyDescent="0.2">
      <c r="A1024" t="s">
        <v>28</v>
      </c>
      <c r="B1024" t="s">
        <v>171</v>
      </c>
      <c r="C1024" s="4">
        <f>(0.0181224344560457/(0.0328453630665826+0.350336698877979+0.0822572721273277+0.0181224344560457+0.178561789731549)) * 0.143284905672781%</f>
        <v>3.9217322495237926E-5</v>
      </c>
      <c r="D1024" t="s">
        <v>256</v>
      </c>
      <c r="E1024" t="s">
        <v>281</v>
      </c>
      <c r="F1024" t="s">
        <v>364</v>
      </c>
      <c r="G1024" s="4" t="s">
        <v>245</v>
      </c>
    </row>
    <row r="1025" spans="1:7" hidden="1" x14ac:dyDescent="0.2">
      <c r="A1025" t="s">
        <v>28</v>
      </c>
      <c r="B1025" t="s">
        <v>171</v>
      </c>
      <c r="C1025" s="4">
        <f>(0.178561789731549/(0.0328453630665826+0.350336698877979+0.0822572721273277+0.0181224344560457+0.178561789731549)) * 0.143284905672781%</f>
        <v>3.8641140130557316E-4</v>
      </c>
      <c r="D1025" t="s">
        <v>256</v>
      </c>
      <c r="E1025" t="s">
        <v>367</v>
      </c>
      <c r="F1025" t="s">
        <v>364</v>
      </c>
      <c r="G1025" s="4" t="s">
        <v>245</v>
      </c>
    </row>
    <row r="1026" spans="1:7" hidden="1" x14ac:dyDescent="0.2">
      <c r="A1026" t="s">
        <v>28</v>
      </c>
      <c r="B1026" t="s">
        <v>199</v>
      </c>
      <c r="C1026" s="4">
        <f>(0.0328453630665826/(0.0328453630665826+0.350336698877979+0.0822572721273277+0.0181224344560457+0.178561789731549)) * 0.185055730518714%</f>
        <v>9.179891850422269E-5</v>
      </c>
      <c r="D1026" t="s">
        <v>242</v>
      </c>
      <c r="E1026" t="s">
        <v>371</v>
      </c>
      <c r="F1026" t="s">
        <v>364</v>
      </c>
      <c r="G1026" s="4" t="s">
        <v>245</v>
      </c>
    </row>
    <row r="1027" spans="1:7" hidden="1" x14ac:dyDescent="0.2">
      <c r="A1027" t="s">
        <v>28</v>
      </c>
      <c r="B1027" t="s">
        <v>199</v>
      </c>
      <c r="C1027" s="4">
        <f>(0.350336698877979/(0.0328453630665826+0.350336698877979+0.0822572721273277+0.0181224344560457+0.178561789731549)) * 0.185055730518714%</f>
        <v>9.7914978148189928E-4</v>
      </c>
      <c r="D1027" t="s">
        <v>256</v>
      </c>
      <c r="E1027" t="s">
        <v>369</v>
      </c>
      <c r="F1027" t="s">
        <v>364</v>
      </c>
      <c r="G1027" s="4" t="s">
        <v>245</v>
      </c>
    </row>
    <row r="1028" spans="1:7" hidden="1" x14ac:dyDescent="0.2">
      <c r="A1028" t="s">
        <v>28</v>
      </c>
      <c r="B1028" t="s">
        <v>199</v>
      </c>
      <c r="C1028" s="4">
        <f>(0.0822572721273277/(0.0328453630665826+0.350336698877979+0.0822572721273277+0.0181224344560457+0.178561789731549)) * 0.185055730518714%</f>
        <v>2.2989938047233407E-4</v>
      </c>
      <c r="D1028" t="s">
        <v>256</v>
      </c>
      <c r="E1028" t="s">
        <v>366</v>
      </c>
      <c r="F1028" t="s">
        <v>364</v>
      </c>
      <c r="G1028" s="4" t="s">
        <v>245</v>
      </c>
    </row>
    <row r="1029" spans="1:7" hidden="1" x14ac:dyDescent="0.2">
      <c r="A1029" t="s">
        <v>28</v>
      </c>
      <c r="B1029" t="s">
        <v>199</v>
      </c>
      <c r="C1029" s="4">
        <f>(0.0181224344560457/(0.0328453630665826+0.350336698877979+0.0822572721273277+0.0181224344560457+0.178561789731549)) * 0.185055730518714%</f>
        <v>5.065006833251449E-5</v>
      </c>
      <c r="D1029" t="s">
        <v>256</v>
      </c>
      <c r="E1029" t="s">
        <v>281</v>
      </c>
      <c r="F1029" t="s">
        <v>364</v>
      </c>
      <c r="G1029" s="4" t="s">
        <v>245</v>
      </c>
    </row>
    <row r="1030" spans="1:7" hidden="1" x14ac:dyDescent="0.2">
      <c r="A1030" t="s">
        <v>28</v>
      </c>
      <c r="B1030" t="s">
        <v>199</v>
      </c>
      <c r="C1030" s="4">
        <f>(0.178561789731549/(0.0328453630665826+0.350336698877979+0.0822572721273277+0.0181224344560457+0.178561789731549)) * 0.185055730518714%</f>
        <v>4.990591563961695E-4</v>
      </c>
      <c r="D1030" t="s">
        <v>256</v>
      </c>
      <c r="E1030" t="s">
        <v>367</v>
      </c>
      <c r="F1030" t="s">
        <v>364</v>
      </c>
      <c r="G1030" s="4" t="s">
        <v>245</v>
      </c>
    </row>
    <row r="1031" spans="1:7" hidden="1" x14ac:dyDescent="0.2">
      <c r="A1031" t="s">
        <v>28</v>
      </c>
      <c r="B1031" t="s">
        <v>141</v>
      </c>
      <c r="C1031" s="4">
        <f>(0.0328453630665826/(0.0328453630665826+0.350336698877979+0.0822572721273277+0.0181224344560457+0.178561789731549)) * 0.0568905848645232%</f>
        <v>2.8221196657878143E-5</v>
      </c>
      <c r="D1031" t="s">
        <v>242</v>
      </c>
      <c r="E1031" t="s">
        <v>371</v>
      </c>
      <c r="F1031" t="s">
        <v>364</v>
      </c>
      <c r="G1031" s="4" t="s">
        <v>245</v>
      </c>
    </row>
    <row r="1032" spans="1:7" hidden="1" x14ac:dyDescent="0.2">
      <c r="A1032" t="s">
        <v>28</v>
      </c>
      <c r="B1032" t="s">
        <v>141</v>
      </c>
      <c r="C1032" s="4">
        <f>(0.350336698877979/(0.0328453630665826+0.350336698877979+0.0822572721273277+0.0181224344560457+0.178561789731549)) * 0.0568905848645232%</f>
        <v>3.0101420573324077E-4</v>
      </c>
      <c r="D1032" t="s">
        <v>256</v>
      </c>
      <c r="E1032" t="s">
        <v>369</v>
      </c>
      <c r="F1032" t="s">
        <v>364</v>
      </c>
      <c r="G1032" s="4" t="s">
        <v>245</v>
      </c>
    </row>
    <row r="1033" spans="1:7" hidden="1" x14ac:dyDescent="0.2">
      <c r="A1033" t="s">
        <v>28</v>
      </c>
      <c r="B1033" t="s">
        <v>141</v>
      </c>
      <c r="C1033" s="4">
        <f>(0.0822572721273277/(0.0328453630665826+0.350336698877979+0.0822572721273277+0.0181224344560457+0.178561789731549)) * 0.0568905848645232%</f>
        <v>7.0676602007415203E-5</v>
      </c>
      <c r="D1033" t="s">
        <v>256</v>
      </c>
      <c r="E1033" t="s">
        <v>366</v>
      </c>
      <c r="F1033" t="s">
        <v>364</v>
      </c>
      <c r="G1033" s="4" t="s">
        <v>245</v>
      </c>
    </row>
    <row r="1034" spans="1:7" hidden="1" x14ac:dyDescent="0.2">
      <c r="A1034" t="s">
        <v>28</v>
      </c>
      <c r="B1034" t="s">
        <v>141</v>
      </c>
      <c r="C1034" s="4">
        <f>(0.0181224344560457/(0.0328453630665826+0.350336698877979+0.0822572721273277+0.0181224344560457+0.178561789731549)) * 0.0568905848645232%</f>
        <v>1.5571049882043063E-5</v>
      </c>
      <c r="D1034" t="s">
        <v>256</v>
      </c>
      <c r="E1034" t="s">
        <v>281</v>
      </c>
      <c r="F1034" t="s">
        <v>364</v>
      </c>
      <c r="G1034" s="4" t="s">
        <v>245</v>
      </c>
    </row>
    <row r="1035" spans="1:7" hidden="1" x14ac:dyDescent="0.2">
      <c r="A1035" t="s">
        <v>28</v>
      </c>
      <c r="B1035" t="s">
        <v>141</v>
      </c>
      <c r="C1035" s="4">
        <f>(0.178561789731549/(0.0328453630665826+0.350336698877979+0.0822572721273277+0.0181224344560457+0.178561789731549)) * 0.0568905848645232%</f>
        <v>1.5342279436465482E-4</v>
      </c>
      <c r="D1035" t="s">
        <v>256</v>
      </c>
      <c r="E1035" t="s">
        <v>367</v>
      </c>
      <c r="F1035" t="s">
        <v>364</v>
      </c>
      <c r="G1035" s="4" t="s">
        <v>245</v>
      </c>
    </row>
    <row r="1036" spans="1:7" hidden="1" x14ac:dyDescent="0.2">
      <c r="A1036" t="s">
        <v>28</v>
      </c>
      <c r="B1036" t="s">
        <v>103</v>
      </c>
      <c r="C1036" s="4">
        <f>(0.0328453630665826/(0.0328453630665826+0.350336698877979+0.0822572721273277+0.0181224344560457+0.178561789731549)) * 0.0708644516228291%</f>
        <v>3.515308605216452E-5</v>
      </c>
      <c r="D1036" t="s">
        <v>242</v>
      </c>
      <c r="E1036" t="s">
        <v>371</v>
      </c>
      <c r="F1036" t="s">
        <v>364</v>
      </c>
      <c r="G1036" s="4" t="s">
        <v>245</v>
      </c>
    </row>
    <row r="1037" spans="1:7" hidden="1" x14ac:dyDescent="0.2">
      <c r="A1037" t="s">
        <v>28</v>
      </c>
      <c r="B1037" t="s">
        <v>103</v>
      </c>
      <c r="C1037" s="4">
        <f>(0.350336698877979/(0.0328453630665826+0.350336698877979+0.0822572721273277+0.0181224344560457+0.178561789731549)) * 0.0708644516228291%</f>
        <v>3.7495143828745634E-4</v>
      </c>
      <c r="D1037" t="s">
        <v>256</v>
      </c>
      <c r="E1037" t="s">
        <v>369</v>
      </c>
      <c r="F1037" t="s">
        <v>364</v>
      </c>
      <c r="G1037" s="4" t="s">
        <v>245</v>
      </c>
    </row>
    <row r="1038" spans="1:7" hidden="1" x14ac:dyDescent="0.2">
      <c r="A1038" t="s">
        <v>28</v>
      </c>
      <c r="B1038" t="s">
        <v>103</v>
      </c>
      <c r="C1038" s="4">
        <f>(0.0822572721273277/(0.0328453630665826+0.350336698877979+0.0822572721273277+0.0181224344560457+0.178561789731549)) * 0.0708644516228291%</f>
        <v>8.8036687542364888E-5</v>
      </c>
      <c r="D1038" t="s">
        <v>256</v>
      </c>
      <c r="E1038" t="s">
        <v>366</v>
      </c>
      <c r="F1038" t="s">
        <v>364</v>
      </c>
      <c r="G1038" s="4" t="s">
        <v>245</v>
      </c>
    </row>
    <row r="1039" spans="1:7" hidden="1" x14ac:dyDescent="0.2">
      <c r="A1039" t="s">
        <v>28</v>
      </c>
      <c r="B1039" t="s">
        <v>103</v>
      </c>
      <c r="C1039" s="4">
        <f>(0.0181224344560457/(0.0328453630665826+0.350336698877979+0.0822572721273277+0.0181224344560457+0.178561789731549)) * 0.0708644516228291%</f>
        <v>1.9395720991625763E-5</v>
      </c>
      <c r="D1039" t="s">
        <v>256</v>
      </c>
      <c r="E1039" t="s">
        <v>281</v>
      </c>
      <c r="F1039" t="s">
        <v>364</v>
      </c>
      <c r="G1039" s="4" t="s">
        <v>245</v>
      </c>
    </row>
    <row r="1040" spans="1:7" hidden="1" x14ac:dyDescent="0.2">
      <c r="A1040" t="s">
        <v>28</v>
      </c>
      <c r="B1040" t="s">
        <v>103</v>
      </c>
      <c r="C1040" s="4">
        <f>(0.178561789731549/(0.0328453630665826+0.350336698877979+0.0822572721273277+0.0181224344560457+0.178561789731549)) * 0.0708644516228291%</f>
        <v>1.9110758335467957E-4</v>
      </c>
      <c r="D1040" t="s">
        <v>256</v>
      </c>
      <c r="E1040" t="s">
        <v>367</v>
      </c>
      <c r="F1040" t="s">
        <v>364</v>
      </c>
      <c r="G1040" s="4" t="s">
        <v>245</v>
      </c>
    </row>
    <row r="1041" spans="1:7" hidden="1" x14ac:dyDescent="0.2">
      <c r="A1041" t="s">
        <v>28</v>
      </c>
      <c r="B1041" t="s">
        <v>200</v>
      </c>
      <c r="C1041" s="4">
        <f>(0.0328453630665826/(0.0328453630665826+0.350336698877979+0.0822572721273277+0.0181224344560457+0.178561789731549)) * 1.86901221769487%</f>
        <v>9.2714394617581062E-4</v>
      </c>
      <c r="D1041" t="s">
        <v>242</v>
      </c>
      <c r="E1041" t="s">
        <v>371</v>
      </c>
      <c r="F1041" t="s">
        <v>364</v>
      </c>
      <c r="G1041" s="4" t="s">
        <v>245</v>
      </c>
    </row>
    <row r="1042" spans="1:7" hidden="1" x14ac:dyDescent="0.2">
      <c r="A1042" t="s">
        <v>28</v>
      </c>
      <c r="B1042" t="s">
        <v>200</v>
      </c>
      <c r="C1042" s="4">
        <f>(0.350336698877979/(0.0328453630665826+0.350336698877979+0.0822572721273277+0.0181224344560457+0.178561789731549)) * 1.86901221769487%</f>
        <v>9.8891447425772452E-3</v>
      </c>
      <c r="D1042" t="s">
        <v>256</v>
      </c>
      <c r="E1042" t="s">
        <v>369</v>
      </c>
      <c r="F1042" t="s">
        <v>364</v>
      </c>
      <c r="G1042" s="4" t="s">
        <v>245</v>
      </c>
    </row>
    <row r="1043" spans="1:7" hidden="1" x14ac:dyDescent="0.2">
      <c r="A1043" t="s">
        <v>28</v>
      </c>
      <c r="B1043" t="s">
        <v>200</v>
      </c>
      <c r="C1043" s="4">
        <f>(0.0822572721273277/(0.0328453630665826+0.350336698877979+0.0822572721273277+0.0181224344560457+0.178561789731549)) * 1.86901221769487%</f>
        <v>2.3219208059045834E-3</v>
      </c>
      <c r="D1043" t="s">
        <v>256</v>
      </c>
      <c r="E1043" t="s">
        <v>366</v>
      </c>
      <c r="F1043" t="s">
        <v>364</v>
      </c>
      <c r="G1043" s="4" t="s">
        <v>245</v>
      </c>
    </row>
    <row r="1044" spans="1:7" hidden="1" x14ac:dyDescent="0.2">
      <c r="A1044" t="s">
        <v>28</v>
      </c>
      <c r="B1044" t="s">
        <v>200</v>
      </c>
      <c r="C1044" s="4">
        <f>(0.0181224344560457/(0.0328453630665826+0.350336698877979+0.0822572721273277+0.0181224344560457+0.178561789731549)) * 1.86901221769487%</f>
        <v>5.1155182428126126E-4</v>
      </c>
      <c r="D1044" t="s">
        <v>256</v>
      </c>
      <c r="E1044" t="s">
        <v>281</v>
      </c>
      <c r="F1044" t="s">
        <v>364</v>
      </c>
      <c r="G1044" s="4" t="s">
        <v>245</v>
      </c>
    </row>
    <row r="1045" spans="1:7" hidden="1" x14ac:dyDescent="0.2">
      <c r="A1045" t="s">
        <v>28</v>
      </c>
      <c r="B1045" t="s">
        <v>200</v>
      </c>
      <c r="C1045" s="4">
        <f>(0.178561789731549/(0.0328453630665826+0.350336698877979+0.0822572721273277+0.0181224344560457+0.178561789731549)) * 1.86901221769487%</f>
        <v>5.0403608580098002E-3</v>
      </c>
      <c r="D1045" t="s">
        <v>256</v>
      </c>
      <c r="E1045" t="s">
        <v>367</v>
      </c>
      <c r="F1045" t="s">
        <v>364</v>
      </c>
      <c r="G1045" s="4" t="s">
        <v>245</v>
      </c>
    </row>
    <row r="1046" spans="1:7" hidden="1" x14ac:dyDescent="0.2">
      <c r="A1046" t="s">
        <v>28</v>
      </c>
      <c r="B1046" t="s">
        <v>172</v>
      </c>
      <c r="C1046" s="4">
        <f>(0.0328453630665826/(0.0328453630665826+0.350336698877979+0.0822572721273277+0.0181224344560457+0.178561789731549)) * 0.315494569641995%</f>
        <v>1.5650453085624109E-4</v>
      </c>
      <c r="D1046" t="s">
        <v>242</v>
      </c>
      <c r="E1046" t="s">
        <v>371</v>
      </c>
      <c r="F1046" t="s">
        <v>364</v>
      </c>
      <c r="G1046" s="4" t="s">
        <v>245</v>
      </c>
    </row>
    <row r="1047" spans="1:7" hidden="1" x14ac:dyDescent="0.2">
      <c r="A1047" t="s">
        <v>28</v>
      </c>
      <c r="B1047" t="s">
        <v>172</v>
      </c>
      <c r="C1047" s="4">
        <f>(0.350336698877979/(0.0328453630665826+0.350336698877979+0.0822572721273277+0.0181224344560457+0.178561789731549)) * 0.315494569641995%</f>
        <v>1.6693157140164634E-3</v>
      </c>
      <c r="D1047" t="s">
        <v>256</v>
      </c>
      <c r="E1047" t="s">
        <v>369</v>
      </c>
      <c r="F1047" t="s">
        <v>364</v>
      </c>
      <c r="G1047" s="4" t="s">
        <v>245</v>
      </c>
    </row>
    <row r="1048" spans="1:7" hidden="1" x14ac:dyDescent="0.2">
      <c r="A1048" t="s">
        <v>28</v>
      </c>
      <c r="B1048" t="s">
        <v>172</v>
      </c>
      <c r="C1048" s="4">
        <f>(0.0822572721273277/(0.0328453630665826+0.350336698877979+0.0822572721273277+0.0181224344560457+0.178561789731549)) * 0.315494569641995%</f>
        <v>3.9194682542265514E-4</v>
      </c>
      <c r="D1048" t="s">
        <v>256</v>
      </c>
      <c r="E1048" t="s">
        <v>366</v>
      </c>
      <c r="F1048" t="s">
        <v>364</v>
      </c>
      <c r="G1048" s="4" t="s">
        <v>245</v>
      </c>
    </row>
    <row r="1049" spans="1:7" hidden="1" x14ac:dyDescent="0.2">
      <c r="A1049" t="s">
        <v>28</v>
      </c>
      <c r="B1049" t="s">
        <v>172</v>
      </c>
      <c r="C1049" s="4">
        <f>(0.0181224344560457/(0.0328453630665826+0.350336698877979+0.0822572721273277+0.0181224344560457+0.178561789731549)) * 0.315494569641995%</f>
        <v>8.6351400554376885E-5</v>
      </c>
      <c r="D1049" t="s">
        <v>256</v>
      </c>
      <c r="E1049" t="s">
        <v>281</v>
      </c>
      <c r="F1049" t="s">
        <v>364</v>
      </c>
      <c r="G1049" s="4" t="s">
        <v>245</v>
      </c>
    </row>
    <row r="1050" spans="1:7" hidden="1" x14ac:dyDescent="0.2">
      <c r="A1050" t="s">
        <v>28</v>
      </c>
      <c r="B1050" t="s">
        <v>172</v>
      </c>
      <c r="C1050" s="4">
        <f>(0.178561789731549/(0.0328453630665826+0.350336698877979+0.0822572721273277+0.0181224344560457+0.178561789731549)) * 0.315494569641995%</f>
        <v>8.5082722557021373E-4</v>
      </c>
      <c r="D1050" t="s">
        <v>256</v>
      </c>
      <c r="E1050" t="s">
        <v>367</v>
      </c>
      <c r="F1050" t="s">
        <v>364</v>
      </c>
      <c r="G1050" s="4" t="s">
        <v>245</v>
      </c>
    </row>
    <row r="1051" spans="1:7" hidden="1" x14ac:dyDescent="0.2">
      <c r="A1051" t="s">
        <v>28</v>
      </c>
      <c r="B1051" t="s">
        <v>150</v>
      </c>
      <c r="C1051" s="4">
        <f>(0.0328453630665826/(0.0328453630665826+0.350336698877979+0.0822572721273277+0.0181224344560457+0.178561789731549)) * 4.0372774758215%</f>
        <v>2.0027356350599073E-3</v>
      </c>
      <c r="D1051" t="s">
        <v>242</v>
      </c>
      <c r="E1051" t="s">
        <v>371</v>
      </c>
      <c r="F1051" t="s">
        <v>364</v>
      </c>
      <c r="G1051" s="4" t="s">
        <v>245</v>
      </c>
    </row>
    <row r="1052" spans="1:7" hidden="1" x14ac:dyDescent="0.2">
      <c r="A1052" t="s">
        <v>28</v>
      </c>
      <c r="B1052" t="s">
        <v>150</v>
      </c>
      <c r="C1052" s="4">
        <f>(0.350336698877979/(0.0328453630665826+0.350336698877979+0.0822572721273277+0.0181224344560457+0.178561789731549)) * 4.0372774758215%</f>
        <v>2.1361669520591545E-2</v>
      </c>
      <c r="D1052" t="s">
        <v>256</v>
      </c>
      <c r="E1052" t="s">
        <v>369</v>
      </c>
      <c r="F1052" t="s">
        <v>364</v>
      </c>
      <c r="G1052" s="4" t="s">
        <v>245</v>
      </c>
    </row>
    <row r="1053" spans="1:7" hidden="1" x14ac:dyDescent="0.2">
      <c r="A1053" t="s">
        <v>28</v>
      </c>
      <c r="B1053" t="s">
        <v>150</v>
      </c>
      <c r="C1053" s="4">
        <f>(0.0822572721273277/(0.0328453630665826+0.350336698877979+0.0822572721273277+0.0181224344560457+0.178561789731549)) * 4.0372774758215%</f>
        <v>5.0156111776955186E-3</v>
      </c>
      <c r="D1053" t="s">
        <v>256</v>
      </c>
      <c r="E1053" t="s">
        <v>366</v>
      </c>
      <c r="F1053" t="s">
        <v>364</v>
      </c>
      <c r="G1053" s="4" t="s">
        <v>245</v>
      </c>
    </row>
    <row r="1054" spans="1:7" hidden="1" x14ac:dyDescent="0.2">
      <c r="A1054" t="s">
        <v>28</v>
      </c>
      <c r="B1054" t="s">
        <v>150</v>
      </c>
      <c r="C1054" s="4">
        <f>(0.0181224344560457/(0.0328453630665826+0.350336698877979+0.0822572721273277+0.0181224344560457+0.178561789731549)) * 4.0372774758215%</f>
        <v>1.105009714935585E-3</v>
      </c>
      <c r="D1054" t="s">
        <v>256</v>
      </c>
      <c r="E1054" t="s">
        <v>281</v>
      </c>
      <c r="F1054" t="s">
        <v>364</v>
      </c>
      <c r="G1054" s="4" t="s">
        <v>245</v>
      </c>
    </row>
    <row r="1055" spans="1:7" hidden="1" x14ac:dyDescent="0.2">
      <c r="A1055" t="s">
        <v>28</v>
      </c>
      <c r="B1055" t="s">
        <v>150</v>
      </c>
      <c r="C1055" s="4">
        <f>(0.178561789731549/(0.0328453630665826+0.350336698877979+0.0822572721273277+0.0181224344560457+0.178561789731549)) * 4.0372774758215%</f>
        <v>1.0887748709932444E-2</v>
      </c>
      <c r="D1055" t="s">
        <v>256</v>
      </c>
      <c r="E1055" t="s">
        <v>367</v>
      </c>
      <c r="F1055" t="s">
        <v>364</v>
      </c>
      <c r="G1055" s="4" t="s">
        <v>245</v>
      </c>
    </row>
    <row r="1056" spans="1:7" hidden="1" x14ac:dyDescent="0.2">
      <c r="A1056" t="s">
        <v>28</v>
      </c>
      <c r="B1056" t="s">
        <v>173</v>
      </c>
      <c r="C1056" s="4">
        <f>(0.0328453630665826/(0.0328453630665826+0.350336698877979+0.0822572721273277+0.0181224344560457+0.178561789731549)) * 0.579466159691323%</f>
        <v>2.8745052433855491E-4</v>
      </c>
      <c r="D1056" t="s">
        <v>242</v>
      </c>
      <c r="E1056" t="s">
        <v>371</v>
      </c>
      <c r="F1056" t="s">
        <v>364</v>
      </c>
      <c r="G1056" s="4" t="s">
        <v>245</v>
      </c>
    </row>
    <row r="1057" spans="1:7" hidden="1" x14ac:dyDescent="0.2">
      <c r="A1057" t="s">
        <v>28</v>
      </c>
      <c r="B1057" t="s">
        <v>173</v>
      </c>
      <c r="C1057" s="4">
        <f>(0.350336698877979/(0.0328453630665826+0.350336698877979+0.0822572721273277+0.0181224344560457+0.178561789731549)) * 0.579466159691323%</f>
        <v>3.0660177993274132E-3</v>
      </c>
      <c r="D1057" t="s">
        <v>256</v>
      </c>
      <c r="E1057" t="s">
        <v>369</v>
      </c>
      <c r="F1057" t="s">
        <v>364</v>
      </c>
      <c r="G1057" s="4" t="s">
        <v>245</v>
      </c>
    </row>
    <row r="1058" spans="1:7" hidden="1" x14ac:dyDescent="0.2">
      <c r="A1058" t="s">
        <v>28</v>
      </c>
      <c r="B1058" t="s">
        <v>173</v>
      </c>
      <c r="C1058" s="4">
        <f>(0.0822572721273277/(0.0328453630665826+0.350336698877979+0.0822572721273277+0.0181224344560457+0.178561789731549)) * 0.579466159691323%</f>
        <v>7.1988535963897558E-4</v>
      </c>
      <c r="D1058" t="s">
        <v>256</v>
      </c>
      <c r="E1058" t="s">
        <v>366</v>
      </c>
      <c r="F1058" t="s">
        <v>364</v>
      </c>
      <c r="G1058" s="4" t="s">
        <v>245</v>
      </c>
    </row>
    <row r="1059" spans="1:7" hidden="1" x14ac:dyDescent="0.2">
      <c r="A1059" t="s">
        <v>28</v>
      </c>
      <c r="B1059" t="s">
        <v>173</v>
      </c>
      <c r="C1059" s="4">
        <f>(0.0181224344560457/(0.0328453630665826+0.350336698877979+0.0822572721273277+0.0181224344560457+0.178561789731549)) * 0.579466159691323%</f>
        <v>1.586008739230975E-4</v>
      </c>
      <c r="D1059" t="s">
        <v>256</v>
      </c>
      <c r="E1059" t="s">
        <v>281</v>
      </c>
      <c r="F1059" t="s">
        <v>364</v>
      </c>
      <c r="G1059" s="4" t="s">
        <v>245</v>
      </c>
    </row>
    <row r="1060" spans="1:7" hidden="1" x14ac:dyDescent="0.2">
      <c r="A1060" t="s">
        <v>28</v>
      </c>
      <c r="B1060" t="s">
        <v>173</v>
      </c>
      <c r="C1060" s="4">
        <f>(0.178561789731549/(0.0328453630665826+0.350336698877979+0.0822572721273277+0.0181224344560457+0.178561789731549)) * 0.579466159691323%</f>
        <v>1.5627070396851891E-3</v>
      </c>
      <c r="D1060" t="s">
        <v>256</v>
      </c>
      <c r="E1060" t="s">
        <v>367</v>
      </c>
      <c r="F1060" t="s">
        <v>364</v>
      </c>
      <c r="G1060" s="4" t="s">
        <v>245</v>
      </c>
    </row>
    <row r="1061" spans="1:7" hidden="1" x14ac:dyDescent="0.2">
      <c r="A1061" t="s">
        <v>28</v>
      </c>
      <c r="B1061" t="s">
        <v>161</v>
      </c>
      <c r="C1061" s="4">
        <f>(0.0328453630665826/(0.0328453630665826+0.350336698877979+0.0822572721273277+0.0181224344560457+0.178561789731549)) * 0.00673664616703831%</f>
        <v>3.3417869889589596E-6</v>
      </c>
      <c r="D1061" t="s">
        <v>242</v>
      </c>
      <c r="E1061" t="s">
        <v>371</v>
      </c>
      <c r="F1061" t="s">
        <v>364</v>
      </c>
      <c r="G1061" s="4" t="s">
        <v>245</v>
      </c>
    </row>
    <row r="1062" spans="1:7" hidden="1" x14ac:dyDescent="0.2">
      <c r="A1062" t="s">
        <v>28</v>
      </c>
      <c r="B1062" t="s">
        <v>161</v>
      </c>
      <c r="C1062" s="4">
        <f>(0.350336698877979/(0.0328453630665826+0.350336698877979+0.0822572721273277+0.0181224344560457+0.178561789731549)) * 0.00673664616703831%</f>
        <v>3.5644319707837352E-5</v>
      </c>
      <c r="D1062" t="s">
        <v>256</v>
      </c>
      <c r="E1062" t="s">
        <v>369</v>
      </c>
      <c r="F1062" t="s">
        <v>364</v>
      </c>
      <c r="G1062" s="4" t="s">
        <v>245</v>
      </c>
    </row>
    <row r="1063" spans="1:7" hidden="1" x14ac:dyDescent="0.2">
      <c r="A1063" t="s">
        <v>28</v>
      </c>
      <c r="B1063" t="s">
        <v>161</v>
      </c>
      <c r="C1063" s="4">
        <f>(0.0822572721273277/(0.0328453630665826+0.350336698877979+0.0822572721273277+0.0181224344560457+0.178561789731549)) * 0.00673664616703831%</f>
        <v>8.3691046795592855E-6</v>
      </c>
      <c r="D1063" t="s">
        <v>256</v>
      </c>
      <c r="E1063" t="s">
        <v>366</v>
      </c>
      <c r="F1063" t="s">
        <v>364</v>
      </c>
      <c r="G1063" s="4" t="s">
        <v>245</v>
      </c>
    </row>
    <row r="1064" spans="1:7" hidden="1" x14ac:dyDescent="0.2">
      <c r="A1064" t="s">
        <v>28</v>
      </c>
      <c r="B1064" t="s">
        <v>161</v>
      </c>
      <c r="C1064" s="4">
        <f>(0.0181224344560457/(0.0328453630665826+0.350336698877979+0.0822572721273277+0.0181224344560457+0.178561789731549)) * 0.00673664616703831%</f>
        <v>1.8438315189485945E-6</v>
      </c>
      <c r="D1064" t="s">
        <v>256</v>
      </c>
      <c r="E1064" t="s">
        <v>281</v>
      </c>
      <c r="F1064" t="s">
        <v>364</v>
      </c>
      <c r="G1064" s="4" t="s">
        <v>245</v>
      </c>
    </row>
    <row r="1065" spans="1:7" hidden="1" x14ac:dyDescent="0.2">
      <c r="A1065" t="s">
        <v>28</v>
      </c>
      <c r="B1065" t="s">
        <v>161</v>
      </c>
      <c r="C1065" s="4">
        <f>(0.178561789731549/(0.0328453630665826+0.350336698877979+0.0822572721273277+0.0181224344560457+0.178561789731549)) * 0.00673664616703831%</f>
        <v>1.8167418775078905E-5</v>
      </c>
      <c r="D1065" t="s">
        <v>256</v>
      </c>
      <c r="E1065" t="s">
        <v>367</v>
      </c>
      <c r="F1065" t="s">
        <v>364</v>
      </c>
      <c r="G1065" s="4" t="s">
        <v>245</v>
      </c>
    </row>
    <row r="1066" spans="1:7" hidden="1" x14ac:dyDescent="0.2">
      <c r="A1066" t="s">
        <v>28</v>
      </c>
      <c r="B1066" t="s">
        <v>105</v>
      </c>
      <c r="C1066" s="4">
        <f>(0.0328453630665826/(0.0328453630665826+0.350336698877979+0.0822572721273277+0.0181224344560457+0.178561789731549)) * 0.0142030454103628%</f>
        <v>7.0455759704551165E-6</v>
      </c>
      <c r="D1066" t="s">
        <v>242</v>
      </c>
      <c r="E1066" t="s">
        <v>371</v>
      </c>
      <c r="F1066" t="s">
        <v>364</v>
      </c>
      <c r="G1066" s="4" t="s">
        <v>245</v>
      </c>
    </row>
    <row r="1067" spans="1:7" hidden="1" x14ac:dyDescent="0.2">
      <c r="A1067" t="s">
        <v>28</v>
      </c>
      <c r="B1067" t="s">
        <v>105</v>
      </c>
      <c r="C1067" s="4">
        <f>(0.350336698877979/(0.0328453630665826+0.350336698877979+0.0822572721273277+0.0181224344560457+0.178561789731549)) * 0.0142030454103628%</f>
        <v>7.5149841461018019E-5</v>
      </c>
      <c r="D1067" t="s">
        <v>256</v>
      </c>
      <c r="E1067" t="s">
        <v>369</v>
      </c>
      <c r="F1067" t="s">
        <v>364</v>
      </c>
      <c r="G1067" s="4" t="s">
        <v>245</v>
      </c>
    </row>
    <row r="1068" spans="1:7" hidden="1" x14ac:dyDescent="0.2">
      <c r="A1068" t="s">
        <v>28</v>
      </c>
      <c r="B1068" t="s">
        <v>105</v>
      </c>
      <c r="C1068" s="4">
        <f>(0.0822572721273277/(0.0328453630665826+0.350336698877979+0.0822572721273277+0.0181224344560457+0.178561789731549)) * 0.0142030454103628%</f>
        <v>1.7644799928703808E-5</v>
      </c>
      <c r="D1068" t="s">
        <v>256</v>
      </c>
      <c r="E1068" t="s">
        <v>366</v>
      </c>
      <c r="F1068" t="s">
        <v>364</v>
      </c>
      <c r="G1068" s="4" t="s">
        <v>245</v>
      </c>
    </row>
    <row r="1069" spans="1:7" hidden="1" x14ac:dyDescent="0.2">
      <c r="A1069" t="s">
        <v>28</v>
      </c>
      <c r="B1069" t="s">
        <v>105</v>
      </c>
      <c r="C1069" s="4">
        <f>(0.0181224344560457/(0.0328453630665826+0.350336698877979+0.0822572721273277+0.0181224344560457+0.178561789731549)) * 0.0142030454103628%</f>
        <v>3.8873976966194703E-6</v>
      </c>
      <c r="D1069" t="s">
        <v>256</v>
      </c>
      <c r="E1069" t="s">
        <v>281</v>
      </c>
      <c r="F1069" t="s">
        <v>364</v>
      </c>
      <c r="G1069" s="4" t="s">
        <v>245</v>
      </c>
    </row>
    <row r="1070" spans="1:7" hidden="1" x14ac:dyDescent="0.2">
      <c r="A1070" t="s">
        <v>28</v>
      </c>
      <c r="B1070" t="s">
        <v>105</v>
      </c>
      <c r="C1070" s="4">
        <f>(0.178561789731549/(0.0328453630665826+0.350336698877979+0.0822572721273277+0.0181224344560457+0.178561789731549)) * 0.0142030454103628%</f>
        <v>3.8302839046831607E-5</v>
      </c>
      <c r="D1070" t="s">
        <v>256</v>
      </c>
      <c r="E1070" t="s">
        <v>367</v>
      </c>
      <c r="F1070" t="s">
        <v>364</v>
      </c>
      <c r="G1070" s="4" t="s">
        <v>245</v>
      </c>
    </row>
    <row r="1071" spans="1:7" hidden="1" x14ac:dyDescent="0.2">
      <c r="A1071" t="s">
        <v>28</v>
      </c>
      <c r="B1071" t="s">
        <v>174</v>
      </c>
      <c r="C1071" s="4">
        <f>(0.0328453630665826/(0.0328453630665826+0.350336698877979+0.0822572721273277+0.0181224344560457+0.178561789731549)) * 0.0292926503431558%</f>
        <v>1.4530939485562799E-5</v>
      </c>
      <c r="D1071" t="s">
        <v>242</v>
      </c>
      <c r="E1071" t="s">
        <v>371</v>
      </c>
      <c r="F1071" t="s">
        <v>364</v>
      </c>
      <c r="G1071" s="4" t="s">
        <v>245</v>
      </c>
    </row>
    <row r="1072" spans="1:7" hidden="1" x14ac:dyDescent="0.2">
      <c r="A1072" t="s">
        <v>28</v>
      </c>
      <c r="B1072" t="s">
        <v>174</v>
      </c>
      <c r="C1072" s="4">
        <f>(0.350336698877979/(0.0328453630665826+0.350336698877979+0.0822572721273277+0.0181224344560457+0.178561789731549)) * 0.0292926503431558%</f>
        <v>1.5499056474571691E-4</v>
      </c>
      <c r="D1072" t="s">
        <v>256</v>
      </c>
      <c r="E1072" t="s">
        <v>369</v>
      </c>
      <c r="F1072" t="s">
        <v>364</v>
      </c>
      <c r="G1072" s="4" t="s">
        <v>245</v>
      </c>
    </row>
    <row r="1073" spans="1:7" hidden="1" x14ac:dyDescent="0.2">
      <c r="A1073" t="s">
        <v>28</v>
      </c>
      <c r="B1073" t="s">
        <v>174</v>
      </c>
      <c r="C1073" s="4">
        <f>(0.0822572721273277/(0.0328453630665826+0.350336698877979+0.0822572721273277+0.0181224344560457+0.178561789731549)) * 0.0292926503431558%</f>
        <v>3.639099501219284E-5</v>
      </c>
      <c r="D1073" t="s">
        <v>256</v>
      </c>
      <c r="E1073" t="s">
        <v>366</v>
      </c>
      <c r="F1073" t="s">
        <v>364</v>
      </c>
      <c r="G1073" s="4" t="s">
        <v>245</v>
      </c>
    </row>
    <row r="1074" spans="1:7" hidden="1" x14ac:dyDescent="0.2">
      <c r="A1074" t="s">
        <v>28</v>
      </c>
      <c r="B1074" t="s">
        <v>174</v>
      </c>
      <c r="C1074" s="4">
        <f>(0.0181224344560457/(0.0328453630665826+0.350336698877979+0.0822572721273277+0.0181224344560457+0.178561789731549)) * 0.0292926503431558%</f>
        <v>8.017448243091595E-6</v>
      </c>
      <c r="D1074" t="s">
        <v>256</v>
      </c>
      <c r="E1074" t="s">
        <v>281</v>
      </c>
      <c r="F1074" t="s">
        <v>364</v>
      </c>
      <c r="G1074" s="4" t="s">
        <v>245</v>
      </c>
    </row>
    <row r="1075" spans="1:7" hidden="1" x14ac:dyDescent="0.2">
      <c r="A1075" t="s">
        <v>28</v>
      </c>
      <c r="B1075" t="s">
        <v>174</v>
      </c>
      <c r="C1075" s="4">
        <f>(0.178561789731549/(0.0328453630665826+0.350336698877979+0.0822572721273277+0.0181224344560457+0.178561789731549)) * 0.0292926503431558%</f>
        <v>7.8996555944993858E-5</v>
      </c>
      <c r="D1075" t="s">
        <v>256</v>
      </c>
      <c r="E1075" t="s">
        <v>367</v>
      </c>
      <c r="F1075" t="s">
        <v>364</v>
      </c>
      <c r="G1075" s="4" t="s">
        <v>245</v>
      </c>
    </row>
    <row r="1076" spans="1:7" hidden="1" x14ac:dyDescent="0.2">
      <c r="A1076" t="s">
        <v>28</v>
      </c>
      <c r="B1076" t="s">
        <v>175</v>
      </c>
      <c r="C1076" s="4">
        <f>(0.0328453630665826/(0.0328453630665826+0.350336698877979+0.0822572721273277+0.0181224344560457+0.178561789731549)) * 0.2049580871447%</f>
        <v>1.0167170011887314E-4</v>
      </c>
      <c r="D1076" t="s">
        <v>242</v>
      </c>
      <c r="E1076" t="s">
        <v>371</v>
      </c>
      <c r="F1076" t="s">
        <v>364</v>
      </c>
      <c r="G1076" s="4" t="s">
        <v>245</v>
      </c>
    </row>
    <row r="1077" spans="1:7" hidden="1" x14ac:dyDescent="0.2">
      <c r="A1077" t="s">
        <v>28</v>
      </c>
      <c r="B1077" t="s">
        <v>175</v>
      </c>
      <c r="C1077" s="4">
        <f>(0.350336698877979/(0.0328453630665826+0.350336698877979+0.0822572721273277+0.0181224344560457+0.178561789731549)) * 0.2049580871447%</f>
        <v>1.0844552918094401E-3</v>
      </c>
      <c r="D1077" t="s">
        <v>256</v>
      </c>
      <c r="E1077" t="s">
        <v>369</v>
      </c>
      <c r="F1077" t="s">
        <v>364</v>
      </c>
      <c r="G1077" s="4" t="s">
        <v>245</v>
      </c>
    </row>
    <row r="1078" spans="1:7" hidden="1" x14ac:dyDescent="0.2">
      <c r="A1078" t="s">
        <v>28</v>
      </c>
      <c r="B1078" t="s">
        <v>175</v>
      </c>
      <c r="C1078" s="4">
        <f>(0.0822572721273277/(0.0328453630665826+0.350336698877979+0.0822572721273277+0.0181224344560457+0.178561789731549)) * 0.2049580871447%</f>
        <v>2.5462457782465781E-4</v>
      </c>
      <c r="D1078" t="s">
        <v>256</v>
      </c>
      <c r="E1078" t="s">
        <v>366</v>
      </c>
      <c r="F1078" t="s">
        <v>364</v>
      </c>
      <c r="G1078" s="4" t="s">
        <v>245</v>
      </c>
    </row>
    <row r="1079" spans="1:7" hidden="1" x14ac:dyDescent="0.2">
      <c r="A1079" t="s">
        <v>28</v>
      </c>
      <c r="B1079" t="s">
        <v>175</v>
      </c>
      <c r="C1079" s="4">
        <f>(0.0181224344560457/(0.0328453630665826+0.350336698877979+0.0822572721273277+0.0181224344560457+0.178561789731549)) * 0.2049580871447%</f>
        <v>5.6097377206758316E-5</v>
      </c>
      <c r="D1079" t="s">
        <v>256</v>
      </c>
      <c r="E1079" t="s">
        <v>281</v>
      </c>
      <c r="F1079" t="s">
        <v>364</v>
      </c>
      <c r="G1079" s="4" t="s">
        <v>245</v>
      </c>
    </row>
    <row r="1080" spans="1:7" hidden="1" x14ac:dyDescent="0.2">
      <c r="A1080" t="s">
        <v>28</v>
      </c>
      <c r="B1080" t="s">
        <v>175</v>
      </c>
      <c r="C1080" s="4">
        <f>(0.178561789731549/(0.0328453630665826+0.350336698877979+0.0822572721273277+0.0181224344560457+0.178561789731549)) * 0.2049580871447%</f>
        <v>5.5273192448727091E-4</v>
      </c>
      <c r="D1080" t="s">
        <v>256</v>
      </c>
      <c r="E1080" t="s">
        <v>367</v>
      </c>
      <c r="F1080" t="s">
        <v>364</v>
      </c>
      <c r="G1080" s="4" t="s">
        <v>245</v>
      </c>
    </row>
    <row r="1081" spans="1:7" hidden="1" x14ac:dyDescent="0.2">
      <c r="A1081" t="s">
        <v>28</v>
      </c>
      <c r="B1081" t="s">
        <v>131</v>
      </c>
      <c r="C1081" s="4">
        <f>(0.0328453630665826/(0.0328453630665826+0.350336698877979+0.0822572721273277+0.0181224344560457+0.178561789731549)) * 0.242597665236451%</f>
        <v>1.2034322437858017E-4</v>
      </c>
      <c r="D1081" t="s">
        <v>242</v>
      </c>
      <c r="E1081" t="s">
        <v>371</v>
      </c>
      <c r="F1081" t="s">
        <v>364</v>
      </c>
      <c r="G1081" s="4" t="s">
        <v>245</v>
      </c>
    </row>
    <row r="1082" spans="1:7" hidden="1" x14ac:dyDescent="0.2">
      <c r="A1082" t="s">
        <v>28</v>
      </c>
      <c r="B1082" t="s">
        <v>131</v>
      </c>
      <c r="C1082" s="4">
        <f>(0.350336698877979/(0.0328453630665826+0.350336698877979+0.0822572721273277+0.0181224344560457+0.178561789731549)) * 0.242597665236451%</f>
        <v>1.2836103493713126E-3</v>
      </c>
      <c r="D1082" t="s">
        <v>256</v>
      </c>
      <c r="E1082" t="s">
        <v>369</v>
      </c>
      <c r="F1082" t="s">
        <v>364</v>
      </c>
      <c r="G1082" s="4" t="s">
        <v>245</v>
      </c>
    </row>
    <row r="1083" spans="1:7" hidden="1" x14ac:dyDescent="0.2">
      <c r="A1083" t="s">
        <v>28</v>
      </c>
      <c r="B1083" t="s">
        <v>131</v>
      </c>
      <c r="C1083" s="4">
        <f>(0.0822572721273277/(0.0328453630665826+0.350336698877979+0.0822572721273277+0.0181224344560457+0.178561789731549)) * 0.242597665236451%</f>
        <v>3.013851707567341E-4</v>
      </c>
      <c r="D1083" t="s">
        <v>256</v>
      </c>
      <c r="E1083" t="s">
        <v>366</v>
      </c>
      <c r="F1083" t="s">
        <v>364</v>
      </c>
      <c r="G1083" s="4" t="s">
        <v>245</v>
      </c>
    </row>
    <row r="1084" spans="1:7" hidden="1" x14ac:dyDescent="0.2">
      <c r="A1084" t="s">
        <v>28</v>
      </c>
      <c r="B1084" t="s">
        <v>131</v>
      </c>
      <c r="C1084" s="4">
        <f>(0.0181224344560457/(0.0328453630665826+0.350336698877979+0.0822572721273277+0.0181224344560457+0.178561789731549)) * 0.242597665236451%</f>
        <v>6.639939377771455E-5</v>
      </c>
      <c r="D1084" t="s">
        <v>256</v>
      </c>
      <c r="E1084" t="s">
        <v>281</v>
      </c>
      <c r="F1084" t="s">
        <v>364</v>
      </c>
      <c r="G1084" s="4" t="s">
        <v>245</v>
      </c>
    </row>
    <row r="1085" spans="1:7" hidden="1" x14ac:dyDescent="0.2">
      <c r="A1085" t="s">
        <v>28</v>
      </c>
      <c r="B1085" t="s">
        <v>131</v>
      </c>
      <c r="C1085" s="4">
        <f>(0.178561789731549/(0.0328453630665826+0.350336698877979+0.0822572721273277+0.0181224344560457+0.178561789731549)) * 0.242597665236451%</f>
        <v>6.5423851408016865E-4</v>
      </c>
      <c r="D1085" t="s">
        <v>256</v>
      </c>
      <c r="E1085" t="s">
        <v>367</v>
      </c>
      <c r="F1085" t="s">
        <v>364</v>
      </c>
      <c r="G1085" s="4" t="s">
        <v>245</v>
      </c>
    </row>
    <row r="1086" spans="1:7" hidden="1" x14ac:dyDescent="0.2">
      <c r="A1086" t="s">
        <v>28</v>
      </c>
      <c r="B1086" t="s">
        <v>201</v>
      </c>
      <c r="C1086" s="4">
        <f>(0.0328453630665826/(0.0328453630665826+0.350336698877979+0.0822572721273277+0.0181224344560457+0.178561789731549)) * 0.259544823454336%</f>
        <v>1.2875004751105519E-4</v>
      </c>
      <c r="D1086" t="s">
        <v>242</v>
      </c>
      <c r="E1086" t="s">
        <v>371</v>
      </c>
      <c r="F1086" t="s">
        <v>364</v>
      </c>
      <c r="G1086" s="4" t="s">
        <v>245</v>
      </c>
    </row>
    <row r="1087" spans="1:7" hidden="1" x14ac:dyDescent="0.2">
      <c r="A1087" t="s">
        <v>28</v>
      </c>
      <c r="B1087" t="s">
        <v>201</v>
      </c>
      <c r="C1087" s="4">
        <f>(0.350336698877979/(0.0328453630665826+0.350336698877979+0.0822572721273277+0.0181224344560457+0.178561789731549)) * 0.259544823454336%</f>
        <v>1.3732795869532484E-3</v>
      </c>
      <c r="D1087" t="s">
        <v>256</v>
      </c>
      <c r="E1087" t="s">
        <v>369</v>
      </c>
      <c r="F1087" t="s">
        <v>364</v>
      </c>
      <c r="G1087" s="4" t="s">
        <v>245</v>
      </c>
    </row>
    <row r="1088" spans="1:7" hidden="1" x14ac:dyDescent="0.2">
      <c r="A1088" t="s">
        <v>28</v>
      </c>
      <c r="B1088" t="s">
        <v>201</v>
      </c>
      <c r="C1088" s="4">
        <f>(0.0822572721273277/(0.0328453630665826+0.350336698877979+0.0822572721273277+0.0181224344560457+0.178561789731549)) * 0.259544823454336%</f>
        <v>3.2243905092643993E-4</v>
      </c>
      <c r="D1088" t="s">
        <v>256</v>
      </c>
      <c r="E1088" t="s">
        <v>366</v>
      </c>
      <c r="F1088" t="s">
        <v>364</v>
      </c>
      <c r="G1088" s="4" t="s">
        <v>245</v>
      </c>
    </row>
    <row r="1089" spans="1:7" hidden="1" x14ac:dyDescent="0.2">
      <c r="A1089" t="s">
        <v>28</v>
      </c>
      <c r="B1089" t="s">
        <v>201</v>
      </c>
      <c r="C1089" s="4">
        <f>(0.0181224344560457/(0.0328453630665826+0.350336698877979+0.0822572721273277+0.0181224344560457+0.178561789731549)) * 0.259544823454336%</f>
        <v>7.1037859819116084E-5</v>
      </c>
      <c r="D1089" t="s">
        <v>256</v>
      </c>
      <c r="E1089" t="s">
        <v>281</v>
      </c>
      <c r="F1089" t="s">
        <v>364</v>
      </c>
      <c r="G1089" s="4" t="s">
        <v>245</v>
      </c>
    </row>
    <row r="1090" spans="1:7" hidden="1" x14ac:dyDescent="0.2">
      <c r="A1090" t="s">
        <v>28</v>
      </c>
      <c r="B1090" t="s">
        <v>201</v>
      </c>
      <c r="C1090" s="4">
        <f>(0.178561789731549/(0.0328453630665826+0.350336698877979+0.0822572721273277+0.0181224344560457+0.178561789731549)) * 0.259544823454336%</f>
        <v>6.9994168933350026E-4</v>
      </c>
      <c r="D1090" t="s">
        <v>256</v>
      </c>
      <c r="E1090" t="s">
        <v>367</v>
      </c>
      <c r="F1090" t="s">
        <v>364</v>
      </c>
      <c r="G1090" s="4" t="s">
        <v>245</v>
      </c>
    </row>
    <row r="1091" spans="1:7" hidden="1" x14ac:dyDescent="0.2">
      <c r="A1091" t="s">
        <v>28</v>
      </c>
      <c r="B1091" t="s">
        <v>202</v>
      </c>
      <c r="C1091" s="4">
        <f>(0.0328453630665826/(0.0328453630665826+0.350336698877979+0.0822572721273277+0.0181224344560457+0.178561789731549)) * 0.112876517155138%</f>
        <v>5.5993630515090385E-5</v>
      </c>
      <c r="D1091" t="s">
        <v>242</v>
      </c>
      <c r="E1091" t="s">
        <v>371</v>
      </c>
      <c r="F1091" t="s">
        <v>364</v>
      </c>
      <c r="G1091" s="4" t="s">
        <v>245</v>
      </c>
    </row>
    <row r="1092" spans="1:7" hidden="1" x14ac:dyDescent="0.2">
      <c r="A1092" t="s">
        <v>28</v>
      </c>
      <c r="B1092" t="s">
        <v>202</v>
      </c>
      <c r="C1092" s="4">
        <f>(0.350336698877979/(0.0328453630665826+0.350336698877979+0.0822572721273277+0.0181224344560457+0.178561789731549)) * 0.112876517155138%</f>
        <v>5.9724179736068451E-4</v>
      </c>
      <c r="D1092" t="s">
        <v>256</v>
      </c>
      <c r="E1092" t="s">
        <v>369</v>
      </c>
      <c r="F1092" t="s">
        <v>364</v>
      </c>
      <c r="G1092" s="4" t="s">
        <v>245</v>
      </c>
    </row>
    <row r="1093" spans="1:7" hidden="1" x14ac:dyDescent="0.2">
      <c r="A1093" t="s">
        <v>28</v>
      </c>
      <c r="B1093" t="s">
        <v>202</v>
      </c>
      <c r="C1093" s="4">
        <f>(0.0822572721273277/(0.0328453630665826+0.350336698877979+0.0822572721273277+0.0181224344560457+0.178561789731549)) * 0.112876517155138%</f>
        <v>1.4022933140790669E-4</v>
      </c>
      <c r="D1093" t="s">
        <v>256</v>
      </c>
      <c r="E1093" t="s">
        <v>366</v>
      </c>
      <c r="F1093" t="s">
        <v>364</v>
      </c>
      <c r="G1093" s="4" t="s">
        <v>245</v>
      </c>
    </row>
    <row r="1094" spans="1:7" hidden="1" x14ac:dyDescent="0.2">
      <c r="A1094" t="s">
        <v>28</v>
      </c>
      <c r="B1094" t="s">
        <v>202</v>
      </c>
      <c r="C1094" s="4">
        <f>(0.0181224344560457/(0.0328453630665826+0.350336698877979+0.0822572721273277+0.0181224344560457+0.178561789731549)) * 0.112876517155138%</f>
        <v>3.0894494815256883E-5</v>
      </c>
      <c r="D1094" t="s">
        <v>256</v>
      </c>
      <c r="E1094" t="s">
        <v>281</v>
      </c>
      <c r="F1094" t="s">
        <v>364</v>
      </c>
      <c r="G1094" s="4" t="s">
        <v>245</v>
      </c>
    </row>
    <row r="1095" spans="1:7" hidden="1" x14ac:dyDescent="0.2">
      <c r="A1095" t="s">
        <v>28</v>
      </c>
      <c r="B1095" t="s">
        <v>202</v>
      </c>
      <c r="C1095" s="4">
        <f>(0.178561789731549/(0.0328453630665826+0.350336698877979+0.0822572721273277+0.0181224344560457+0.178561789731549)) * 0.112876517155138%</f>
        <v>3.0440591745244154E-4</v>
      </c>
      <c r="D1095" t="s">
        <v>256</v>
      </c>
      <c r="E1095" t="s">
        <v>367</v>
      </c>
      <c r="F1095" t="s">
        <v>364</v>
      </c>
      <c r="G1095" s="4" t="s">
        <v>245</v>
      </c>
    </row>
    <row r="1096" spans="1:7" hidden="1" x14ac:dyDescent="0.2">
      <c r="A1096" t="s">
        <v>28</v>
      </c>
      <c r="B1096" t="s">
        <v>203</v>
      </c>
      <c r="C1096" s="4">
        <f>(0.0328453630665826/(0.0328453630665826+0.350336698877979+0.0822572721273277+0.0181224344560457+0.178561789731549)) * 0.325674926607045%</f>
        <v>1.6155460823973511E-4</v>
      </c>
      <c r="D1096" t="s">
        <v>242</v>
      </c>
      <c r="E1096" t="s">
        <v>371</v>
      </c>
      <c r="F1096" t="s">
        <v>364</v>
      </c>
      <c r="G1096" s="4" t="s">
        <v>245</v>
      </c>
    </row>
    <row r="1097" spans="1:7" hidden="1" x14ac:dyDescent="0.2">
      <c r="A1097" t="s">
        <v>28</v>
      </c>
      <c r="B1097" t="s">
        <v>203</v>
      </c>
      <c r="C1097" s="4">
        <f>(0.350336698877979/(0.0328453630665826+0.350336698877979+0.0822572721273277+0.0181224344560457+0.178561789731549)) * 0.325674926607045%</f>
        <v>1.7231810780870367E-3</v>
      </c>
      <c r="D1097" t="s">
        <v>256</v>
      </c>
      <c r="E1097" t="s">
        <v>369</v>
      </c>
      <c r="F1097" t="s">
        <v>364</v>
      </c>
      <c r="G1097" s="4" t="s">
        <v>245</v>
      </c>
    </row>
    <row r="1098" spans="1:7" hidden="1" x14ac:dyDescent="0.2">
      <c r="A1098" t="s">
        <v>28</v>
      </c>
      <c r="B1098" t="s">
        <v>203</v>
      </c>
      <c r="C1098" s="4">
        <f>(0.0822572721273277/(0.0328453630665826+0.350336698877979+0.0822572721273277+0.0181224344560457+0.178561789731549)) * 0.325674926607045%</f>
        <v>4.0459413849257129E-4</v>
      </c>
      <c r="D1098" t="s">
        <v>256</v>
      </c>
      <c r="E1098" t="s">
        <v>366</v>
      </c>
      <c r="F1098" t="s">
        <v>364</v>
      </c>
      <c r="G1098" s="4" t="s">
        <v>245</v>
      </c>
    </row>
    <row r="1099" spans="1:7" hidden="1" x14ac:dyDescent="0.2">
      <c r="A1099" t="s">
        <v>28</v>
      </c>
      <c r="B1099" t="s">
        <v>203</v>
      </c>
      <c r="C1099" s="4">
        <f>(0.0181224344560457/(0.0328453630665826+0.350336698877979+0.0822572721273277+0.0181224344560457+0.178561789731549)) * 0.325674926607045%</f>
        <v>8.9137781578535599E-5</v>
      </c>
      <c r="D1099" t="s">
        <v>256</v>
      </c>
      <c r="E1099" t="s">
        <v>281</v>
      </c>
      <c r="F1099" t="s">
        <v>364</v>
      </c>
      <c r="G1099" s="4" t="s">
        <v>245</v>
      </c>
    </row>
    <row r="1100" spans="1:7" hidden="1" x14ac:dyDescent="0.2">
      <c r="A1100" t="s">
        <v>28</v>
      </c>
      <c r="B1100" t="s">
        <v>203</v>
      </c>
      <c r="C1100" s="4">
        <f>(0.178561789731549/(0.0328453630665826+0.350336698877979+0.0822572721273277+0.0181224344560457+0.178561789731549)) * 0.325674926607045%</f>
        <v>8.7828165967257163E-4</v>
      </c>
      <c r="D1100" t="s">
        <v>256</v>
      </c>
      <c r="E1100" t="s">
        <v>367</v>
      </c>
      <c r="F1100" t="s">
        <v>364</v>
      </c>
      <c r="G1100" s="4" t="s">
        <v>245</v>
      </c>
    </row>
    <row r="1101" spans="1:7" hidden="1" x14ac:dyDescent="0.2">
      <c r="A1101" t="s">
        <v>28</v>
      </c>
      <c r="B1101" t="s">
        <v>176</v>
      </c>
      <c r="C1101" s="4">
        <f>(0.0328453630665826/(0.0328453630665826+0.350336698877979+0.0822572721273277+0.0181224344560457+0.178561789731549)) * 0.0197817362827983%</f>
        <v>9.8129465745616924E-6</v>
      </c>
      <c r="D1101" t="s">
        <v>242</v>
      </c>
      <c r="E1101" t="s">
        <v>371</v>
      </c>
      <c r="F1101" t="s">
        <v>364</v>
      </c>
      <c r="G1101" s="4" t="s">
        <v>245</v>
      </c>
    </row>
    <row r="1102" spans="1:7" hidden="1" x14ac:dyDescent="0.2">
      <c r="A1102" t="s">
        <v>28</v>
      </c>
      <c r="B1102" t="s">
        <v>176</v>
      </c>
      <c r="C1102" s="4">
        <f>(0.350336698877979/(0.0328453630665826+0.350336698877979+0.0822572721273277+0.0181224344560457+0.178561789731549)) * 0.0197817362827983%</f>
        <v>1.0466729511343488E-4</v>
      </c>
      <c r="D1102" t="s">
        <v>256</v>
      </c>
      <c r="E1102" t="s">
        <v>369</v>
      </c>
      <c r="F1102" t="s">
        <v>364</v>
      </c>
      <c r="G1102" s="4" t="s">
        <v>245</v>
      </c>
    </row>
    <row r="1103" spans="1:7" hidden="1" x14ac:dyDescent="0.2">
      <c r="A1103" t="s">
        <v>28</v>
      </c>
      <c r="B1103" t="s">
        <v>176</v>
      </c>
      <c r="C1103" s="4">
        <f>(0.0822572721273277/(0.0328453630665826+0.350336698877979+0.0822572721273277+0.0181224344560457+0.178561789731549)) * 0.0197817362827983%</f>
        <v>2.4575347671400639E-5</v>
      </c>
      <c r="D1103" t="s">
        <v>256</v>
      </c>
      <c r="E1103" t="s">
        <v>366</v>
      </c>
      <c r="F1103" t="s">
        <v>364</v>
      </c>
      <c r="G1103" s="4" t="s">
        <v>245</v>
      </c>
    </row>
    <row r="1104" spans="1:7" hidden="1" x14ac:dyDescent="0.2">
      <c r="A1104" t="s">
        <v>28</v>
      </c>
      <c r="B1104" t="s">
        <v>176</v>
      </c>
      <c r="C1104" s="4">
        <f>(0.0181224344560457/(0.0328453630665826+0.350336698877979+0.0822572721273277+0.0181224344560457+0.178561789731549)) * 0.0197817362827983%</f>
        <v>5.4142948810666093E-6</v>
      </c>
      <c r="D1104" t="s">
        <v>256</v>
      </c>
      <c r="E1104" t="s">
        <v>281</v>
      </c>
      <c r="F1104" t="s">
        <v>364</v>
      </c>
      <c r="G1104" s="4" t="s">
        <v>245</v>
      </c>
    </row>
    <row r="1105" spans="1:7" hidden="1" x14ac:dyDescent="0.2">
      <c r="A1105" t="s">
        <v>28</v>
      </c>
      <c r="B1105" t="s">
        <v>176</v>
      </c>
      <c r="C1105" s="4">
        <f>(0.178561789731549/(0.0328453630665826+0.350336698877979+0.0822572721273277+0.0181224344560457+0.178561789731549)) * 0.0197817362827983%</f>
        <v>5.3347478587519193E-5</v>
      </c>
      <c r="D1105" t="s">
        <v>256</v>
      </c>
      <c r="E1105" t="s">
        <v>367</v>
      </c>
      <c r="F1105" t="s">
        <v>364</v>
      </c>
      <c r="G1105" s="4" t="s">
        <v>245</v>
      </c>
    </row>
    <row r="1106" spans="1:7" hidden="1" x14ac:dyDescent="0.2">
      <c r="A1106" t="s">
        <v>28</v>
      </c>
      <c r="B1106" t="s">
        <v>133</v>
      </c>
      <c r="C1106" s="4">
        <f>(0.0328453630665826/(0.0328453630665826+0.350336698877979+0.0822572721273277+0.0181224344560457+0.178561789731549)) * 0.0000180930514781691%</f>
        <v>8.9752560133185838E-9</v>
      </c>
      <c r="D1106" t="s">
        <v>242</v>
      </c>
      <c r="E1106" t="s">
        <v>371</v>
      </c>
      <c r="F1106" t="s">
        <v>364</v>
      </c>
      <c r="G1106" s="4" t="s">
        <v>245</v>
      </c>
    </row>
    <row r="1107" spans="1:7" hidden="1" x14ac:dyDescent="0.2">
      <c r="A1107" t="s">
        <v>28</v>
      </c>
      <c r="B1107" t="s">
        <v>133</v>
      </c>
      <c r="C1107" s="4">
        <f>(0.350336698877979/(0.0328453630665826+0.350336698877979+0.0822572721273277+0.0181224344560457+0.178561789731549)) * 0.0000180930514781691%</f>
        <v>9.5732282115946135E-8</v>
      </c>
      <c r="D1107" t="s">
        <v>256</v>
      </c>
      <c r="E1107" t="s">
        <v>369</v>
      </c>
      <c r="F1107" t="s">
        <v>364</v>
      </c>
      <c r="G1107" s="4" t="s">
        <v>245</v>
      </c>
    </row>
    <row r="1108" spans="1:7" hidden="1" x14ac:dyDescent="0.2">
      <c r="A1108" t="s">
        <v>28</v>
      </c>
      <c r="B1108" t="s">
        <v>133</v>
      </c>
      <c r="C1108" s="4">
        <f>(0.0822572721273277/(0.0328453630665826+0.350336698877979+0.0822572721273277+0.0181224344560457+0.178561789731549)) * 0.0000180930514781691%</f>
        <v>2.2477452138476098E-8</v>
      </c>
      <c r="D1108" t="s">
        <v>256</v>
      </c>
      <c r="E1108" t="s">
        <v>366</v>
      </c>
      <c r="F1108" t="s">
        <v>364</v>
      </c>
      <c r="G1108" s="4" t="s">
        <v>245</v>
      </c>
    </row>
    <row r="1109" spans="1:7" hidden="1" x14ac:dyDescent="0.2">
      <c r="A1109" t="s">
        <v>28</v>
      </c>
      <c r="B1109" t="s">
        <v>133</v>
      </c>
      <c r="C1109" s="4">
        <f>(0.0181224344560457/(0.0328453630665826+0.350336698877979+0.0822572721273277+0.0181224344560457+0.178561789731549)) * 0.0000180930514781691%</f>
        <v>4.9520989765852924E-9</v>
      </c>
      <c r="D1109" t="s">
        <v>256</v>
      </c>
      <c r="E1109" t="s">
        <v>281</v>
      </c>
      <c r="F1109" t="s">
        <v>364</v>
      </c>
      <c r="G1109" s="4" t="s">
        <v>245</v>
      </c>
    </row>
    <row r="1110" spans="1:7" hidden="1" x14ac:dyDescent="0.2">
      <c r="A1110" t="s">
        <v>28</v>
      </c>
      <c r="B1110" t="s">
        <v>133</v>
      </c>
      <c r="C1110" s="4">
        <f>(0.178561789731549/(0.0328453630665826+0.350336698877979+0.0822572721273277+0.0181224344560457+0.178561789731549)) * 0.0000180930514781691%</f>
        <v>4.8793425537364907E-8</v>
      </c>
      <c r="D1110" t="s">
        <v>256</v>
      </c>
      <c r="E1110" t="s">
        <v>367</v>
      </c>
      <c r="F1110" t="s">
        <v>364</v>
      </c>
      <c r="G1110" s="4" t="s">
        <v>245</v>
      </c>
    </row>
    <row r="1111" spans="1:7" hidden="1" x14ac:dyDescent="0.2">
      <c r="A1111" t="s">
        <v>28</v>
      </c>
      <c r="B1111" t="s">
        <v>177</v>
      </c>
      <c r="C1111" s="4">
        <f>(0.0328453630665826/(0.0328453630665826+0.350336698877979+0.0822572721273277+0.0181224344560457+0.178561789731549)) * 0.056733778418379%</f>
        <v>2.8143411105762681E-5</v>
      </c>
      <c r="D1111" t="s">
        <v>242</v>
      </c>
      <c r="E1111" t="s">
        <v>371</v>
      </c>
      <c r="F1111" t="s">
        <v>364</v>
      </c>
      <c r="G1111" s="4" t="s">
        <v>245</v>
      </c>
    </row>
    <row r="1112" spans="1:7" hidden="1" x14ac:dyDescent="0.2">
      <c r="A1112" t="s">
        <v>28</v>
      </c>
      <c r="B1112" t="s">
        <v>177</v>
      </c>
      <c r="C1112" s="4">
        <f>(0.350336698877979/(0.0328453630665826+0.350336698877979+0.0822572721273277+0.0181224344560457+0.178561789731549)) * 0.056733778418379%</f>
        <v>3.0018452595490219E-4</v>
      </c>
      <c r="D1112" t="s">
        <v>256</v>
      </c>
      <c r="E1112" t="s">
        <v>369</v>
      </c>
      <c r="F1112" t="s">
        <v>364</v>
      </c>
      <c r="G1112" s="4" t="s">
        <v>245</v>
      </c>
    </row>
    <row r="1113" spans="1:7" hidden="1" x14ac:dyDescent="0.2">
      <c r="A1113" t="s">
        <v>28</v>
      </c>
      <c r="B1113" t="s">
        <v>177</v>
      </c>
      <c r="C1113" s="4">
        <f>(0.0822572721273277/(0.0328453630665826+0.350336698877979+0.0822572721273277+0.0181224344560457+0.178561789731549)) * 0.056733778418379%</f>
        <v>7.0481797422215003E-5</v>
      </c>
      <c r="D1113" t="s">
        <v>256</v>
      </c>
      <c r="E1113" t="s">
        <v>366</v>
      </c>
      <c r="F1113" t="s">
        <v>364</v>
      </c>
      <c r="G1113" s="4" t="s">
        <v>245</v>
      </c>
    </row>
    <row r="1114" spans="1:7" hidden="1" x14ac:dyDescent="0.2">
      <c r="A1114" t="s">
        <v>28</v>
      </c>
      <c r="B1114" t="s">
        <v>177</v>
      </c>
      <c r="C1114" s="4">
        <f>(0.0181224344560457/(0.0328453630665826+0.350336698877979+0.0822572721273277+0.0181224344560457+0.178561789731549)) * 0.056733778418379%</f>
        <v>1.5528131690912638E-5</v>
      </c>
      <c r="D1114" t="s">
        <v>256</v>
      </c>
      <c r="E1114" t="s">
        <v>281</v>
      </c>
      <c r="F1114" t="s">
        <v>364</v>
      </c>
      <c r="G1114" s="4" t="s">
        <v>245</v>
      </c>
    </row>
    <row r="1115" spans="1:7" hidden="1" x14ac:dyDescent="0.2">
      <c r="A1115" t="s">
        <v>28</v>
      </c>
      <c r="B1115" t="s">
        <v>177</v>
      </c>
      <c r="C1115" s="4">
        <f>(0.178561789731549/(0.0328453630665826+0.350336698877979+0.0822572721273277+0.0181224344560457+0.178561789731549)) * 0.056733778418379%</f>
        <v>1.5299991800999746E-4</v>
      </c>
      <c r="D1115" t="s">
        <v>256</v>
      </c>
      <c r="E1115" t="s">
        <v>367</v>
      </c>
      <c r="F1115" t="s">
        <v>364</v>
      </c>
      <c r="G1115" s="4" t="s">
        <v>245</v>
      </c>
    </row>
    <row r="1116" spans="1:7" hidden="1" x14ac:dyDescent="0.2">
      <c r="A1116" t="s">
        <v>28</v>
      </c>
      <c r="B1116" t="s">
        <v>155</v>
      </c>
      <c r="C1116" s="4">
        <v>1.8044441479864459E-2</v>
      </c>
      <c r="D1116" t="s">
        <v>368</v>
      </c>
      <c r="E1116" t="s">
        <v>366</v>
      </c>
      <c r="F1116" t="s">
        <v>364</v>
      </c>
      <c r="G1116" s="4" t="s">
        <v>245</v>
      </c>
    </row>
    <row r="1117" spans="1:7" hidden="1" x14ac:dyDescent="0.2">
      <c r="A1117" t="s">
        <v>28</v>
      </c>
      <c r="B1117" t="s">
        <v>146</v>
      </c>
      <c r="C1117" s="4">
        <f>(0.0328453630665826/(0.0328453630665826+0.350336698877979+0.0822572721273277+0.0181224344560457+0.178561789731549)) * 3.65013442232596%</f>
        <v>1.810689090390927E-3</v>
      </c>
      <c r="D1117" t="s">
        <v>242</v>
      </c>
      <c r="E1117" t="s">
        <v>371</v>
      </c>
      <c r="F1117" t="s">
        <v>364</v>
      </c>
      <c r="G1117" s="4" t="s">
        <v>245</v>
      </c>
    </row>
    <row r="1118" spans="1:7" hidden="1" x14ac:dyDescent="0.2">
      <c r="A1118" t="s">
        <v>28</v>
      </c>
      <c r="B1118" t="s">
        <v>146</v>
      </c>
      <c r="C1118" s="4">
        <f>(0.350336698877979/(0.0328453630665826+0.350336698877979+0.0822572721273277+0.0181224344560457+0.178561789731549)) * 3.65013442232596%</f>
        <v>1.9313253969395962E-2</v>
      </c>
      <c r="D1118" t="s">
        <v>256</v>
      </c>
      <c r="E1118" t="s">
        <v>369</v>
      </c>
      <c r="F1118" t="s">
        <v>364</v>
      </c>
      <c r="G1118" s="4" t="s">
        <v>245</v>
      </c>
    </row>
    <row r="1119" spans="1:7" hidden="1" x14ac:dyDescent="0.2">
      <c r="A1119" t="s">
        <v>28</v>
      </c>
      <c r="B1119" t="s">
        <v>146</v>
      </c>
      <c r="C1119" s="4">
        <f>(0.0822572721273277/(0.0328453630665826+0.350336698877979+0.0822572721273277+0.0181224344560457+0.178561789731549)) * 3.65013442232596%</f>
        <v>4.5346536418045032E-3</v>
      </c>
      <c r="D1119" t="s">
        <v>256</v>
      </c>
      <c r="E1119" t="s">
        <v>366</v>
      </c>
      <c r="F1119" t="s">
        <v>364</v>
      </c>
      <c r="G1119" s="4" t="s">
        <v>245</v>
      </c>
    </row>
    <row r="1120" spans="1:7" hidden="1" x14ac:dyDescent="0.2">
      <c r="A1120" t="s">
        <v>28</v>
      </c>
      <c r="B1120" t="s">
        <v>146</v>
      </c>
      <c r="C1120" s="4">
        <f>(0.0181224344560457/(0.0328453630665826+0.350336698877979+0.0822572721273277+0.0181224344560457+0.178561789731549)) * 3.65013442232596%</f>
        <v>9.9904800243393152E-4</v>
      </c>
      <c r="D1120" t="s">
        <v>256</v>
      </c>
      <c r="E1120" t="s">
        <v>281</v>
      </c>
      <c r="F1120" t="s">
        <v>364</v>
      </c>
      <c r="G1120" s="4" t="s">
        <v>245</v>
      </c>
    </row>
    <row r="1121" spans="1:7" hidden="1" x14ac:dyDescent="0.2">
      <c r="A1121" t="s">
        <v>28</v>
      </c>
      <c r="B1121" t="s">
        <v>146</v>
      </c>
      <c r="C1121" s="4">
        <f>(0.178561789731549/(0.0328453630665826+0.350336698877979+0.0822572721273277+0.0181224344560457+0.178561789731549)) * 3.65013442232596%</f>
        <v>9.8436995192342763E-3</v>
      </c>
      <c r="D1121" t="s">
        <v>256</v>
      </c>
      <c r="E1121" t="s">
        <v>367</v>
      </c>
      <c r="F1121" t="s">
        <v>364</v>
      </c>
      <c r="G1121" s="4" t="s">
        <v>245</v>
      </c>
    </row>
    <row r="1122" spans="1:7" hidden="1" x14ac:dyDescent="0.2">
      <c r="A1122" t="s">
        <v>28</v>
      </c>
      <c r="B1122" t="s">
        <v>156</v>
      </c>
      <c r="C1122" s="4">
        <f>(0.0328453630665826/(0.0328453630665826+0.350336698877979+0.0822572721273277+0.0181224344560457+0.178561789731549)) * 0.645662604032784%</f>
        <v>3.2028799433928299E-4</v>
      </c>
      <c r="D1122" t="s">
        <v>242</v>
      </c>
      <c r="E1122" t="s">
        <v>371</v>
      </c>
      <c r="F1122" t="s">
        <v>364</v>
      </c>
      <c r="G1122" s="4" t="s">
        <v>245</v>
      </c>
    </row>
    <row r="1123" spans="1:7" hidden="1" x14ac:dyDescent="0.2">
      <c r="A1123" t="s">
        <v>28</v>
      </c>
      <c r="B1123" t="s">
        <v>156</v>
      </c>
      <c r="C1123" s="4">
        <f>(0.350336698877979/(0.0328453630665826+0.350336698877979+0.0822572721273277+0.0181224344560457+0.178561789731549)) * 0.645662604032784%</f>
        <v>3.4162703088289528E-3</v>
      </c>
      <c r="D1123" t="s">
        <v>256</v>
      </c>
      <c r="E1123" t="s">
        <v>369</v>
      </c>
      <c r="F1123" t="s">
        <v>364</v>
      </c>
      <c r="G1123" s="4" t="s">
        <v>245</v>
      </c>
    </row>
    <row r="1124" spans="1:7" hidden="1" x14ac:dyDescent="0.2">
      <c r="A1124" t="s">
        <v>28</v>
      </c>
      <c r="B1124" t="s">
        <v>156</v>
      </c>
      <c r="C1124" s="4">
        <f>(0.0822572721273277/(0.0328453630665826+0.350336698877979+0.0822572721273277+0.0181224344560457+0.178561789731549)) * 0.645662604032784%</f>
        <v>8.0212286452961299E-4</v>
      </c>
      <c r="D1124" t="s">
        <v>256</v>
      </c>
      <c r="E1124" t="s">
        <v>366</v>
      </c>
      <c r="F1124" t="s">
        <v>364</v>
      </c>
      <c r="G1124" s="4" t="s">
        <v>245</v>
      </c>
    </row>
    <row r="1125" spans="1:7" hidden="1" x14ac:dyDescent="0.2">
      <c r="A1125" t="s">
        <v>28</v>
      </c>
      <c r="B1125" t="s">
        <v>156</v>
      </c>
      <c r="C1125" s="4">
        <f>(0.0181224344560457/(0.0328453630665826+0.350336698877979+0.0822572721273277+0.0181224344560457+0.178561789731549)) * 0.645662604032784%</f>
        <v>1.7671895337876414E-4</v>
      </c>
      <c r="D1125" t="s">
        <v>256</v>
      </c>
      <c r="E1125" t="s">
        <v>281</v>
      </c>
      <c r="F1125" t="s">
        <v>364</v>
      </c>
      <c r="G1125" s="4" t="s">
        <v>245</v>
      </c>
    </row>
    <row r="1126" spans="1:7" hidden="1" x14ac:dyDescent="0.2">
      <c r="A1126" t="s">
        <v>28</v>
      </c>
      <c r="B1126" t="s">
        <v>156</v>
      </c>
      <c r="C1126" s="4">
        <f>(0.178561789731549/(0.0328453630665826+0.350336698877979+0.0822572721273277+0.0181224344560457+0.178561789731549)) * 0.645662604032784%</f>
        <v>1.7412259192512273E-3</v>
      </c>
      <c r="D1126" t="s">
        <v>256</v>
      </c>
      <c r="E1126" t="s">
        <v>367</v>
      </c>
      <c r="F1126" t="s">
        <v>364</v>
      </c>
      <c r="G1126" s="4" t="s">
        <v>245</v>
      </c>
    </row>
    <row r="1127" spans="1:7" hidden="1" x14ac:dyDescent="0.2">
      <c r="A1127" t="s">
        <v>28</v>
      </c>
      <c r="B1127" t="s">
        <v>151</v>
      </c>
      <c r="C1127" s="4">
        <f>(0.0328453630665826/(0.0328453630665826+0.350336698877979+0.0822572721273277+0.0181224344560457+0.178561789731549)) * 0.0205959235993159%</f>
        <v>1.0216833095161025E-5</v>
      </c>
      <c r="D1127" t="s">
        <v>242</v>
      </c>
      <c r="E1127" t="s">
        <v>371</v>
      </c>
      <c r="F1127" t="s">
        <v>364</v>
      </c>
      <c r="G1127" s="4" t="s">
        <v>245</v>
      </c>
    </row>
    <row r="1128" spans="1:7" hidden="1" x14ac:dyDescent="0.2">
      <c r="A1128" t="s">
        <v>28</v>
      </c>
      <c r="B1128" t="s">
        <v>151</v>
      </c>
      <c r="C1128" s="4">
        <f>(0.350336698877979/(0.0328453630665826+0.350336698877979+0.0822572721273277+0.0181224344560457+0.178561789731549)) * 0.0205959235993159%</f>
        <v>1.089752478086524E-4</v>
      </c>
      <c r="D1128" t="s">
        <v>256</v>
      </c>
      <c r="E1128" t="s">
        <v>369</v>
      </c>
      <c r="F1128" t="s">
        <v>364</v>
      </c>
      <c r="G1128" s="4" t="s">
        <v>245</v>
      </c>
    </row>
    <row r="1129" spans="1:7" hidden="1" x14ac:dyDescent="0.2">
      <c r="A1129" t="s">
        <v>28</v>
      </c>
      <c r="B1129" t="s">
        <v>151</v>
      </c>
      <c r="C1129" s="4">
        <f>(0.0822572721273277/(0.0328453630665826+0.350336698877979+0.0822572721273277+0.0181224344560457+0.178561789731549)) * 0.0205959235993159%</f>
        <v>2.5586833017632052E-5</v>
      </c>
      <c r="D1129" t="s">
        <v>256</v>
      </c>
      <c r="E1129" t="s">
        <v>366</v>
      </c>
      <c r="F1129" t="s">
        <v>364</v>
      </c>
      <c r="G1129" s="4" t="s">
        <v>245</v>
      </c>
    </row>
    <row r="1130" spans="1:7" hidden="1" x14ac:dyDescent="0.2">
      <c r="A1130" t="s">
        <v>28</v>
      </c>
      <c r="B1130" t="s">
        <v>151</v>
      </c>
      <c r="C1130" s="4">
        <f>(0.0181224344560457/(0.0328453630665826+0.350336698877979+0.0822572721273277+0.0181224344560457+0.178561789731549)) * 0.0205959235993159%</f>
        <v>5.6371393350129451E-6</v>
      </c>
      <c r="D1130" t="s">
        <v>256</v>
      </c>
      <c r="E1130" t="s">
        <v>281</v>
      </c>
      <c r="F1130" t="s">
        <v>364</v>
      </c>
      <c r="G1130" s="4" t="s">
        <v>245</v>
      </c>
    </row>
    <row r="1131" spans="1:7" hidden="1" x14ac:dyDescent="0.2">
      <c r="A1131" t="s">
        <v>28</v>
      </c>
      <c r="B1131" t="s">
        <v>151</v>
      </c>
      <c r="C1131" s="4">
        <f>(0.178561789731549/(0.0328453630665826+0.350336698877979+0.0822572721273277+0.0181224344560457+0.178561789731549)) * 0.0205959235993159%</f>
        <v>5.5543182736700588E-5</v>
      </c>
      <c r="D1131" t="s">
        <v>256</v>
      </c>
      <c r="E1131" t="s">
        <v>367</v>
      </c>
      <c r="F1131" t="s">
        <v>364</v>
      </c>
      <c r="G1131" s="4" t="s">
        <v>245</v>
      </c>
    </row>
    <row r="1132" spans="1:7" hidden="1" x14ac:dyDescent="0.2">
      <c r="A1132" t="s">
        <v>28</v>
      </c>
      <c r="B1132" t="s">
        <v>120</v>
      </c>
      <c r="C1132" s="4">
        <f>(0.0328453630665826/(0.0328453630665826+0.350336698877979+0.0822572721273277+0.0181224344560457+0.178561789731549)) * 0.0178578418089529%</f>
        <v>8.8585776851454428E-6</v>
      </c>
      <c r="D1132" t="s">
        <v>242</v>
      </c>
      <c r="E1132" t="s">
        <v>371</v>
      </c>
      <c r="F1132" t="s">
        <v>364</v>
      </c>
      <c r="G1132" s="4" t="s">
        <v>245</v>
      </c>
    </row>
    <row r="1133" spans="1:7" hidden="1" x14ac:dyDescent="0.2">
      <c r="A1133" t="s">
        <v>28</v>
      </c>
      <c r="B1133" t="s">
        <v>120</v>
      </c>
      <c r="C1133" s="4">
        <f>(0.350336698877979/(0.0328453630665826+0.350336698877979+0.0822572721273277+0.0181224344560457+0.178561789731549)) * 0.0178578418089529%</f>
        <v>9.4487762448438822E-5</v>
      </c>
      <c r="D1133" t="s">
        <v>256</v>
      </c>
      <c r="E1133" t="s">
        <v>369</v>
      </c>
      <c r="F1133" t="s">
        <v>364</v>
      </c>
      <c r="G1133" s="4" t="s">
        <v>245</v>
      </c>
    </row>
    <row r="1134" spans="1:7" hidden="1" x14ac:dyDescent="0.2">
      <c r="A1134" t="s">
        <v>28</v>
      </c>
      <c r="B1134" t="s">
        <v>120</v>
      </c>
      <c r="C1134" s="4">
        <f>(0.0822572721273277/(0.0328453630665826+0.350336698877979+0.0822572721273277+0.0181224344560457+0.178561789731549)) * 0.0178578418089529%</f>
        <v>2.2185245260675909E-5</v>
      </c>
      <c r="D1134" t="s">
        <v>256</v>
      </c>
      <c r="E1134" t="s">
        <v>366</v>
      </c>
      <c r="F1134" t="s">
        <v>364</v>
      </c>
      <c r="G1134" s="4" t="s">
        <v>245</v>
      </c>
    </row>
    <row r="1135" spans="1:7" hidden="1" x14ac:dyDescent="0.2">
      <c r="A1135" t="s">
        <v>28</v>
      </c>
      <c r="B1135" t="s">
        <v>120</v>
      </c>
      <c r="C1135" s="4">
        <f>(0.0181224344560457/(0.0328453630665826+0.350336698877979+0.0822572721273277+0.0181224344560457+0.178561789731549)) * 0.0178578418089529%</f>
        <v>4.8877216898896836E-6</v>
      </c>
      <c r="D1135" t="s">
        <v>256</v>
      </c>
      <c r="E1135" t="s">
        <v>281</v>
      </c>
      <c r="F1135" t="s">
        <v>364</v>
      </c>
      <c r="G1135" s="4" t="s">
        <v>245</v>
      </c>
    </row>
    <row r="1136" spans="1:7" hidden="1" x14ac:dyDescent="0.2">
      <c r="A1136" t="s">
        <v>28</v>
      </c>
      <c r="B1136" t="s">
        <v>120</v>
      </c>
      <c r="C1136" s="4">
        <f>(0.178561789731549/(0.0328453630665826+0.350336698877979+0.0822572721273277+0.0181224344560457+0.178561789731549)) * 0.0178578418089529%</f>
        <v>4.8159111005379162E-5</v>
      </c>
      <c r="D1136" t="s">
        <v>256</v>
      </c>
      <c r="E1136" t="s">
        <v>367</v>
      </c>
      <c r="F1136" t="s">
        <v>364</v>
      </c>
      <c r="G1136" s="4" t="s">
        <v>245</v>
      </c>
    </row>
    <row r="1137" spans="1:7" hidden="1" x14ac:dyDescent="0.2">
      <c r="A1137" t="s">
        <v>28</v>
      </c>
      <c r="B1137" t="s">
        <v>107</v>
      </c>
      <c r="C1137" s="4">
        <f>(0.0328453630665826/(0.0328453630665826+0.350336698877979+0.0822572721273277+0.0181224344560457+0.178561789731549)) * 8.91221498694496%</f>
        <v>4.4210016895204329E-3</v>
      </c>
      <c r="D1137" t="s">
        <v>242</v>
      </c>
      <c r="E1137" t="s">
        <v>371</v>
      </c>
      <c r="F1137" t="s">
        <v>364</v>
      </c>
      <c r="G1137" s="4" t="s">
        <v>245</v>
      </c>
    </row>
    <row r="1138" spans="1:7" hidden="1" x14ac:dyDescent="0.2">
      <c r="A1138" t="s">
        <v>28</v>
      </c>
      <c r="B1138" t="s">
        <v>107</v>
      </c>
      <c r="C1138" s="4">
        <f>(0.350336698877979/(0.0328453630665826+0.350336698877979+0.0822572721273277+0.0181224344560457+0.178561789731549)) * 8.91221498694496%</f>
        <v>4.7155488417065794E-2</v>
      </c>
      <c r="D1138" t="s">
        <v>256</v>
      </c>
      <c r="E1138" t="s">
        <v>369</v>
      </c>
      <c r="F1138" t="s">
        <v>364</v>
      </c>
      <c r="G1138" s="4" t="s">
        <v>245</v>
      </c>
    </row>
    <row r="1139" spans="1:7" hidden="1" x14ac:dyDescent="0.2">
      <c r="A1139" t="s">
        <v>28</v>
      </c>
      <c r="B1139" t="s">
        <v>107</v>
      </c>
      <c r="C1139" s="4">
        <f>(0.0822572721273277/(0.0328453630665826+0.350336698877979+0.0822572721273277+0.0181224344560457+0.178561789731549)) * 8.91221498694496%</f>
        <v>1.107186844953012E-2</v>
      </c>
      <c r="D1139" t="s">
        <v>256</v>
      </c>
      <c r="E1139" t="s">
        <v>366</v>
      </c>
      <c r="F1139" t="s">
        <v>364</v>
      </c>
      <c r="G1139" s="4" t="s">
        <v>245</v>
      </c>
    </row>
    <row r="1140" spans="1:7" hidden="1" x14ac:dyDescent="0.2">
      <c r="A1140" t="s">
        <v>28</v>
      </c>
      <c r="B1140" t="s">
        <v>107</v>
      </c>
      <c r="C1140" s="4">
        <f>(0.0181224344560457/(0.0328453630665826+0.350336698877979+0.0822572721273277+0.0181224344560457+0.178561789731549)) * 8.91221498694496%</f>
        <v>2.4392884068898E-3</v>
      </c>
      <c r="D1140" t="s">
        <v>256</v>
      </c>
      <c r="E1140" t="s">
        <v>281</v>
      </c>
      <c r="F1140" t="s">
        <v>364</v>
      </c>
      <c r="G1140" s="4" t="s">
        <v>245</v>
      </c>
    </row>
    <row r="1141" spans="1:7" hidden="1" x14ac:dyDescent="0.2">
      <c r="A1141" t="s">
        <v>28</v>
      </c>
      <c r="B1141" t="s">
        <v>107</v>
      </c>
      <c r="C1141" s="4">
        <f>(0.178561789731549/(0.0328453630665826+0.350336698877979+0.0822572721273277+0.0181224344560457+0.178561789731549)) * 8.91221498694496%</f>
        <v>2.4034502906443468E-2</v>
      </c>
      <c r="D1141" t="s">
        <v>256</v>
      </c>
      <c r="E1141" t="s">
        <v>367</v>
      </c>
      <c r="F1141" t="s">
        <v>364</v>
      </c>
      <c r="G1141" s="4" t="s">
        <v>245</v>
      </c>
    </row>
    <row r="1142" spans="1:7" hidden="1" x14ac:dyDescent="0.2">
      <c r="A1142" t="s">
        <v>28</v>
      </c>
      <c r="B1142" t="s">
        <v>204</v>
      </c>
      <c r="C1142" s="4">
        <f>(0.0328453630665826/(0.0328453630665826+0.350336698877979+0.0822572721273277+0.0181224344560457+0.178561789731549)) * 0.339739258622741%</f>
        <v>1.6853137391408771E-4</v>
      </c>
      <c r="D1142" t="s">
        <v>242</v>
      </c>
      <c r="E1142" t="s">
        <v>371</v>
      </c>
      <c r="F1142" t="s">
        <v>364</v>
      </c>
      <c r="G1142" s="4" t="s">
        <v>245</v>
      </c>
    </row>
    <row r="1143" spans="1:7" hidden="1" x14ac:dyDescent="0.2">
      <c r="A1143" t="s">
        <v>28</v>
      </c>
      <c r="B1143" t="s">
        <v>204</v>
      </c>
      <c r="C1143" s="4">
        <f>(0.350336698877979/(0.0328453630665826+0.350336698877979+0.0822572721273277+0.0181224344560457+0.178561789731549)) * 0.339739258622741%</f>
        <v>1.7975969720518282E-3</v>
      </c>
      <c r="D1143" t="s">
        <v>256</v>
      </c>
      <c r="E1143" t="s">
        <v>369</v>
      </c>
      <c r="F1143" t="s">
        <v>364</v>
      </c>
      <c r="G1143" s="4" t="s">
        <v>245</v>
      </c>
    </row>
    <row r="1144" spans="1:7" hidden="1" x14ac:dyDescent="0.2">
      <c r="A1144" t="s">
        <v>28</v>
      </c>
      <c r="B1144" t="s">
        <v>204</v>
      </c>
      <c r="C1144" s="4">
        <f>(0.0822572721273277/(0.0328453630665826+0.350336698877979+0.0822572721273277+0.0181224344560457+0.178561789731549)) * 0.339739258622741%</f>
        <v>4.2206661128821245E-4</v>
      </c>
      <c r="D1144" t="s">
        <v>256</v>
      </c>
      <c r="E1144" t="s">
        <v>366</v>
      </c>
      <c r="F1144" t="s">
        <v>364</v>
      </c>
      <c r="G1144" s="4" t="s">
        <v>245</v>
      </c>
    </row>
    <row r="1145" spans="1:7" hidden="1" x14ac:dyDescent="0.2">
      <c r="A1145" t="s">
        <v>28</v>
      </c>
      <c r="B1145" t="s">
        <v>204</v>
      </c>
      <c r="C1145" s="4">
        <f>(0.0181224344560457/(0.0328453630665826+0.350336698877979+0.0822572721273277+0.0181224344560457+0.178561789731549)) * 0.339739258622741%</f>
        <v>9.298721318300102E-5</v>
      </c>
      <c r="D1145" t="s">
        <v>256</v>
      </c>
      <c r="E1145" t="s">
        <v>281</v>
      </c>
      <c r="F1145" t="s">
        <v>364</v>
      </c>
      <c r="G1145" s="4" t="s">
        <v>245</v>
      </c>
    </row>
    <row r="1146" spans="1:7" hidden="1" x14ac:dyDescent="0.2">
      <c r="A1146" t="s">
        <v>28</v>
      </c>
      <c r="B1146" t="s">
        <v>204</v>
      </c>
      <c r="C1146" s="4">
        <f>(0.178561789731549/(0.0328453630665826+0.350336698877979+0.0822572721273277+0.0181224344560457+0.178561789731549)) * 0.339739258622741%</f>
        <v>9.162104157902812E-4</v>
      </c>
      <c r="D1146" t="s">
        <v>256</v>
      </c>
      <c r="E1146" t="s">
        <v>367</v>
      </c>
      <c r="F1146" t="s">
        <v>364</v>
      </c>
      <c r="G1146" s="4" t="s">
        <v>245</v>
      </c>
    </row>
    <row r="1147" spans="1:7" hidden="1" x14ac:dyDescent="0.2">
      <c r="A1147" t="s">
        <v>28</v>
      </c>
      <c r="B1147" t="s">
        <v>108</v>
      </c>
      <c r="C1147" s="4">
        <f>(0.0328453630665826/(0.0328453630665826+0.350336698877979+0.0822572721273277+0.0181224344560457+0.178561789731549)) * 0.34241703024151%</f>
        <v>1.6985971180405882E-4</v>
      </c>
      <c r="D1147" t="s">
        <v>242</v>
      </c>
      <c r="E1147" t="s">
        <v>371</v>
      </c>
      <c r="F1147" t="s">
        <v>364</v>
      </c>
      <c r="G1147" s="4" t="s">
        <v>245</v>
      </c>
    </row>
    <row r="1148" spans="1:7" hidden="1" x14ac:dyDescent="0.2">
      <c r="A1148" t="s">
        <v>28</v>
      </c>
      <c r="B1148" t="s">
        <v>108</v>
      </c>
      <c r="C1148" s="4">
        <f>(0.350336698877979/(0.0328453630665826+0.350336698877979+0.0822572721273277+0.0181224344560457+0.178561789731549)) * 0.34241703024151%</f>
        <v>1.8117653498049876E-3</v>
      </c>
      <c r="D1148" t="s">
        <v>256</v>
      </c>
      <c r="E1148" t="s">
        <v>369</v>
      </c>
      <c r="F1148" t="s">
        <v>364</v>
      </c>
      <c r="G1148" s="4" t="s">
        <v>245</v>
      </c>
    </row>
    <row r="1149" spans="1:7" hidden="1" x14ac:dyDescent="0.2">
      <c r="A1149" t="s">
        <v>28</v>
      </c>
      <c r="B1149" t="s">
        <v>108</v>
      </c>
      <c r="C1149" s="4">
        <f>(0.0822572721273277/(0.0328453630665826+0.350336698877979+0.0822572721273277+0.0181224344560457+0.178561789731549)) * 0.34241703024151%</f>
        <v>4.2539327420470678E-4</v>
      </c>
      <c r="D1149" t="s">
        <v>256</v>
      </c>
      <c r="E1149" t="s">
        <v>366</v>
      </c>
      <c r="F1149" t="s">
        <v>364</v>
      </c>
      <c r="G1149" s="4" t="s">
        <v>245</v>
      </c>
    </row>
    <row r="1150" spans="1:7" hidden="1" x14ac:dyDescent="0.2">
      <c r="A1150" t="s">
        <v>28</v>
      </c>
      <c r="B1150" t="s">
        <v>108</v>
      </c>
      <c r="C1150" s="4">
        <f>(0.0181224344560457/(0.0328453630665826+0.350336698877979+0.0822572721273277+0.0181224344560457+0.178561789731549)) * 0.34241703024151%</f>
        <v>9.3720123831535619E-5</v>
      </c>
      <c r="D1150" t="s">
        <v>256</v>
      </c>
      <c r="E1150" t="s">
        <v>281</v>
      </c>
      <c r="F1150" t="s">
        <v>364</v>
      </c>
      <c r="G1150" s="4" t="s">
        <v>245</v>
      </c>
    </row>
    <row r="1151" spans="1:7" hidden="1" x14ac:dyDescent="0.2">
      <c r="A1151" t="s">
        <v>28</v>
      </c>
      <c r="B1151" t="s">
        <v>108</v>
      </c>
      <c r="C1151" s="4">
        <f>(0.178561789731549/(0.0328453630665826+0.350336698877979+0.0822572721273277+0.0181224344560457+0.178561789731549)) * 0.34241703024151%</f>
        <v>9.2343184276981092E-4</v>
      </c>
      <c r="D1151" t="s">
        <v>256</v>
      </c>
      <c r="E1151" t="s">
        <v>367</v>
      </c>
      <c r="F1151" t="s">
        <v>364</v>
      </c>
      <c r="G1151" s="4" t="s">
        <v>245</v>
      </c>
    </row>
    <row r="1152" spans="1:7" hidden="1" x14ac:dyDescent="0.2">
      <c r="A1152" t="s">
        <v>28</v>
      </c>
      <c r="B1152" t="s">
        <v>205</v>
      </c>
      <c r="C1152" s="4">
        <f>(0.0328453630665826/(0.0328453630665826+0.350336698877979+0.0822572721273277+0.0181224344560457+0.178561789731549)) * 0.458960405829557%</f>
        <v>2.2767232753784851E-4</v>
      </c>
      <c r="D1152" t="s">
        <v>242</v>
      </c>
      <c r="E1152" t="s">
        <v>371</v>
      </c>
      <c r="F1152" t="s">
        <v>364</v>
      </c>
      <c r="G1152" s="4" t="s">
        <v>245</v>
      </c>
    </row>
    <row r="1153" spans="1:7" hidden="1" x14ac:dyDescent="0.2">
      <c r="A1153" t="s">
        <v>28</v>
      </c>
      <c r="B1153" t="s">
        <v>205</v>
      </c>
      <c r="C1153" s="4">
        <f>(0.350336698877979/(0.0328453630665826+0.350336698877979+0.0822572721273277+0.0181224344560457+0.178561789731549)) * 0.458960405829557%</f>
        <v>2.4284088896745046E-3</v>
      </c>
      <c r="D1153" t="s">
        <v>256</v>
      </c>
      <c r="E1153" t="s">
        <v>369</v>
      </c>
      <c r="F1153" t="s">
        <v>364</v>
      </c>
      <c r="G1153" s="4" t="s">
        <v>245</v>
      </c>
    </row>
    <row r="1154" spans="1:7" hidden="1" x14ac:dyDescent="0.2">
      <c r="A1154" t="s">
        <v>28</v>
      </c>
      <c r="B1154" t="s">
        <v>205</v>
      </c>
      <c r="C1154" s="4">
        <f>(0.0822572721273277/(0.0328453630665826+0.350336698877979+0.0822572721273277+0.0181224344560457+0.178561789731549)) * 0.458960405829557%</f>
        <v>5.7017803591267817E-4</v>
      </c>
      <c r="D1154" t="s">
        <v>256</v>
      </c>
      <c r="E1154" t="s">
        <v>366</v>
      </c>
      <c r="F1154" t="s">
        <v>364</v>
      </c>
      <c r="G1154" s="4" t="s">
        <v>245</v>
      </c>
    </row>
    <row r="1155" spans="1:7" hidden="1" x14ac:dyDescent="0.2">
      <c r="A1155" t="s">
        <v>28</v>
      </c>
      <c r="B1155" t="s">
        <v>205</v>
      </c>
      <c r="C1155" s="4">
        <f>(0.0181224344560457/(0.0328453630665826+0.350336698877979+0.0822572721273277+0.0181224344560457+0.178561789731549)) * 0.458960405829557%</f>
        <v>1.256182440393805E-4</v>
      </c>
      <c r="D1155" t="s">
        <v>256</v>
      </c>
      <c r="E1155" t="s">
        <v>281</v>
      </c>
      <c r="F1155" t="s">
        <v>364</v>
      </c>
      <c r="G1155" s="4" t="s">
        <v>245</v>
      </c>
    </row>
    <row r="1156" spans="1:7" hidden="1" x14ac:dyDescent="0.2">
      <c r="A1156" t="s">
        <v>28</v>
      </c>
      <c r="B1156" t="s">
        <v>205</v>
      </c>
      <c r="C1156" s="4">
        <f>(0.178561789731549/(0.0328453630665826+0.350336698877979+0.0822572721273277+0.0181224344560457+0.178561789731549)) * 0.458960405829557%</f>
        <v>1.2377265611311589E-3</v>
      </c>
      <c r="D1156" t="s">
        <v>256</v>
      </c>
      <c r="E1156" t="s">
        <v>367</v>
      </c>
      <c r="F1156" t="s">
        <v>364</v>
      </c>
      <c r="G1156" s="4" t="s">
        <v>245</v>
      </c>
    </row>
    <row r="1157" spans="1:7" hidden="1" x14ac:dyDescent="0.2">
      <c r="A1157" t="s">
        <v>28</v>
      </c>
      <c r="B1157" t="s">
        <v>179</v>
      </c>
      <c r="C1157" s="4">
        <f>(0.0328453630665826/(0.0328453630665826+0.350336698877979+0.0822572721273277+0.0181224344560457+0.178561789731549)) * 0.0593210847797572%</f>
        <v>2.9426872715667252E-5</v>
      </c>
      <c r="D1157" t="s">
        <v>242</v>
      </c>
      <c r="E1157" t="s">
        <v>371</v>
      </c>
      <c r="F1157" t="s">
        <v>364</v>
      </c>
      <c r="G1157" s="4" t="s">
        <v>245</v>
      </c>
    </row>
    <row r="1158" spans="1:7" hidden="1" x14ac:dyDescent="0.2">
      <c r="A1158" t="s">
        <v>28</v>
      </c>
      <c r="B1158" t="s">
        <v>179</v>
      </c>
      <c r="C1158" s="4">
        <f>(0.350336698877979/(0.0328453630665826+0.350336698877979+0.0822572721273277+0.0181224344560457+0.178561789731549)) * 0.0593210847797572%</f>
        <v>3.138742422974826E-4</v>
      </c>
      <c r="D1158" t="s">
        <v>256</v>
      </c>
      <c r="E1158" t="s">
        <v>369</v>
      </c>
      <c r="F1158" t="s">
        <v>364</v>
      </c>
      <c r="G1158" s="4" t="s">
        <v>245</v>
      </c>
    </row>
    <row r="1159" spans="1:7" hidden="1" x14ac:dyDescent="0.2">
      <c r="A1159" t="s">
        <v>28</v>
      </c>
      <c r="B1159" t="s">
        <v>179</v>
      </c>
      <c r="C1159" s="4">
        <f>(0.0822572721273277/(0.0328453630665826+0.350336698877979+0.0822572721273277+0.0181224344560457+0.178561789731549)) * 0.0593210847797572%</f>
        <v>7.3696073078017101E-5</v>
      </c>
      <c r="D1159" t="s">
        <v>256</v>
      </c>
      <c r="E1159" t="s">
        <v>366</v>
      </c>
      <c r="F1159" t="s">
        <v>364</v>
      </c>
      <c r="G1159" s="4" t="s">
        <v>245</v>
      </c>
    </row>
    <row r="1160" spans="1:7" hidden="1" x14ac:dyDescent="0.2">
      <c r="A1160" t="s">
        <v>28</v>
      </c>
      <c r="B1160" t="s">
        <v>179</v>
      </c>
      <c r="C1160" s="4">
        <f>(0.0181224344560457/(0.0328453630665826+0.350336698877979+0.0822572721273277+0.0181224344560457+0.178561789731549)) * 0.0593210847797572%</f>
        <v>1.6236281844564341E-5</v>
      </c>
      <c r="D1160" t="s">
        <v>256</v>
      </c>
      <c r="E1160" t="s">
        <v>281</v>
      </c>
      <c r="F1160" t="s">
        <v>364</v>
      </c>
      <c r="G1160" s="4" t="s">
        <v>245</v>
      </c>
    </row>
    <row r="1161" spans="1:7" hidden="1" x14ac:dyDescent="0.2">
      <c r="A1161" t="s">
        <v>28</v>
      </c>
      <c r="B1161" t="s">
        <v>179</v>
      </c>
      <c r="C1161" s="4">
        <f>(0.178561789731549/(0.0328453630665826+0.350336698877979+0.0822572721273277+0.0181224344560457+0.178561789731549)) * 0.0593210847797572%</f>
        <v>1.599773778618407E-4</v>
      </c>
      <c r="D1161" t="s">
        <v>256</v>
      </c>
      <c r="E1161" t="s">
        <v>367</v>
      </c>
      <c r="F1161" t="s">
        <v>364</v>
      </c>
      <c r="G1161" s="4" t="s">
        <v>245</v>
      </c>
    </row>
    <row r="1162" spans="1:7" hidden="1" x14ac:dyDescent="0.2">
      <c r="A1162" t="s">
        <v>28</v>
      </c>
      <c r="B1162" t="s">
        <v>109</v>
      </c>
      <c r="C1162" s="4">
        <f>(0.0328453630665826/(0.0328453630665826+0.350336698877979+0.0822572721273277+0.0181224344560457+0.178561789731549)) * 0.00489718593342445%</f>
        <v>2.4293026276049032E-6</v>
      </c>
      <c r="D1162" t="s">
        <v>242</v>
      </c>
      <c r="E1162" t="s">
        <v>371</v>
      </c>
      <c r="F1162" t="s">
        <v>364</v>
      </c>
      <c r="G1162" s="4" t="s">
        <v>245</v>
      </c>
    </row>
    <row r="1163" spans="1:7" hidden="1" x14ac:dyDescent="0.2">
      <c r="A1163" t="s">
        <v>28</v>
      </c>
      <c r="B1163" t="s">
        <v>109</v>
      </c>
      <c r="C1163" s="4">
        <f>(0.350336698877979/(0.0328453630665826+0.350336698877979+0.0822572721273277+0.0181224344560457+0.178561789731549)) * 0.00489718593342445%</f>
        <v>2.5911537692716157E-5</v>
      </c>
      <c r="D1163" t="s">
        <v>256</v>
      </c>
      <c r="E1163" t="s">
        <v>369</v>
      </c>
      <c r="F1163" t="s">
        <v>364</v>
      </c>
      <c r="G1163" s="4" t="s">
        <v>245</v>
      </c>
    </row>
    <row r="1164" spans="1:7" hidden="1" x14ac:dyDescent="0.2">
      <c r="A1164" t="s">
        <v>28</v>
      </c>
      <c r="B1164" t="s">
        <v>109</v>
      </c>
      <c r="C1164" s="4">
        <f>(0.0822572721273277/(0.0328453630665826+0.350336698877979+0.0822572721273277+0.0181224344560457+0.178561789731549)) * 0.00489718593342445%</f>
        <v>6.0838970454808806E-6</v>
      </c>
      <c r="D1164" t="s">
        <v>256</v>
      </c>
      <c r="E1164" t="s">
        <v>366</v>
      </c>
      <c r="F1164" t="s">
        <v>364</v>
      </c>
      <c r="G1164" s="4" t="s">
        <v>245</v>
      </c>
    </row>
    <row r="1165" spans="1:7" hidden="1" x14ac:dyDescent="0.2">
      <c r="A1165" t="s">
        <v>28</v>
      </c>
      <c r="B1165" t="s">
        <v>109</v>
      </c>
      <c r="C1165" s="4">
        <f>(0.0181224344560457/(0.0328453630665826+0.350336698877979+0.0822572721273277+0.0181224344560457+0.178561789731549)) * 0.00489718593342445%</f>
        <v>1.3403681229957562E-6</v>
      </c>
      <c r="D1165" t="s">
        <v>256</v>
      </c>
      <c r="E1165" t="s">
        <v>281</v>
      </c>
      <c r="F1165" t="s">
        <v>364</v>
      </c>
      <c r="G1165" s="4" t="s">
        <v>245</v>
      </c>
    </row>
    <row r="1166" spans="1:7" hidden="1" x14ac:dyDescent="0.2">
      <c r="A1166" t="s">
        <v>28</v>
      </c>
      <c r="B1166" t="s">
        <v>109</v>
      </c>
      <c r="C1166" s="4">
        <f>(0.178561789731549/(0.0328453630665826+0.350336698877979+0.0822572721273277+0.0181224344560457+0.178561789731549)) * 0.00489718593342445%</f>
        <v>1.3206753845446805E-5</v>
      </c>
      <c r="D1166" t="s">
        <v>256</v>
      </c>
      <c r="E1166" t="s">
        <v>367</v>
      </c>
      <c r="F1166" t="s">
        <v>364</v>
      </c>
      <c r="G1166" s="4" t="s">
        <v>245</v>
      </c>
    </row>
    <row r="1167" spans="1:7" hidden="1" x14ac:dyDescent="0.2">
      <c r="A1167" t="s">
        <v>28</v>
      </c>
      <c r="B1167" t="s">
        <v>135</v>
      </c>
      <c r="C1167" s="4">
        <f>(0.0328453630665826/(0.0328453630665826+0.350336698877979+0.0822572721273277+0.0181224344560457+0.178561789731549)) * 0.0122791509365174%</f>
        <v>6.0912070810388635E-6</v>
      </c>
      <c r="D1167" t="s">
        <v>242</v>
      </c>
      <c r="E1167" t="s">
        <v>371</v>
      </c>
      <c r="F1167" t="s">
        <v>364</v>
      </c>
      <c r="G1167" s="4" t="s">
        <v>245</v>
      </c>
    </row>
    <row r="1168" spans="1:7" hidden="1" x14ac:dyDescent="0.2">
      <c r="A1168" t="s">
        <v>28</v>
      </c>
      <c r="B1168" t="s">
        <v>135</v>
      </c>
      <c r="C1168" s="4">
        <f>(0.350336698877979/(0.0328453630665826+0.350336698877979+0.0822572721273277+0.0181224344560457+0.178561789731549)) * 0.0122791509365174%</f>
        <v>6.4970308796021939E-5</v>
      </c>
      <c r="D1168" t="s">
        <v>256</v>
      </c>
      <c r="E1168" t="s">
        <v>369</v>
      </c>
      <c r="F1168" t="s">
        <v>364</v>
      </c>
      <c r="G1168" s="4" t="s">
        <v>245</v>
      </c>
    </row>
    <row r="1169" spans="1:7" hidden="1" x14ac:dyDescent="0.2">
      <c r="A1169" t="s">
        <v>28</v>
      </c>
      <c r="B1169" t="s">
        <v>135</v>
      </c>
      <c r="C1169" s="4">
        <f>(0.0822572721273277/(0.0328453630665826+0.350336698877979+0.0822572721273277+0.0181224344560457+0.178561789731549)) * 0.0122791509365174%</f>
        <v>1.5254697517979074E-5</v>
      </c>
      <c r="D1169" t="s">
        <v>256</v>
      </c>
      <c r="E1169" t="s">
        <v>366</v>
      </c>
      <c r="F1169" t="s">
        <v>364</v>
      </c>
      <c r="G1169" s="4" t="s">
        <v>245</v>
      </c>
    </row>
    <row r="1170" spans="1:7" hidden="1" x14ac:dyDescent="0.2">
      <c r="A1170" t="s">
        <v>28</v>
      </c>
      <c r="B1170" t="s">
        <v>135</v>
      </c>
      <c r="C1170" s="4">
        <f>(0.0181224344560457/(0.0328453630665826+0.350336698877979+0.0822572721273277+0.0181224344560457+0.178561789731549)) * 0.0122791509365174%</f>
        <v>3.3608245054425433E-6</v>
      </c>
      <c r="D1170" t="s">
        <v>256</v>
      </c>
      <c r="E1170" t="s">
        <v>281</v>
      </c>
      <c r="F1170" t="s">
        <v>364</v>
      </c>
      <c r="G1170" s="4" t="s">
        <v>245</v>
      </c>
    </row>
    <row r="1171" spans="1:7" hidden="1" x14ac:dyDescent="0.2">
      <c r="A1171" t="s">
        <v>28</v>
      </c>
      <c r="B1171" t="s">
        <v>135</v>
      </c>
      <c r="C1171" s="4">
        <f>(0.178561789731549/(0.0328453630665826+0.350336698877979+0.0822572721273277+0.0181224344560457+0.178561789731549)) * 0.0122791509365174%</f>
        <v>3.3114471464691569E-5</v>
      </c>
      <c r="D1171" t="s">
        <v>256</v>
      </c>
      <c r="E1171" t="s">
        <v>367</v>
      </c>
      <c r="F1171" t="s">
        <v>364</v>
      </c>
      <c r="G1171" s="4" t="s">
        <v>245</v>
      </c>
    </row>
    <row r="1172" spans="1:7" hidden="1" x14ac:dyDescent="0.2">
      <c r="A1172" t="s">
        <v>28</v>
      </c>
      <c r="B1172" t="s">
        <v>137</v>
      </c>
      <c r="C1172" s="4">
        <f>3.37720677179493%*(0.0914092651381309/(0.0914092651381309+0.00171239274195283))</f>
        <v>3.3151040934733873E-2</v>
      </c>
      <c r="D1172" t="s">
        <v>322</v>
      </c>
      <c r="E1172" t="s">
        <v>369</v>
      </c>
      <c r="F1172" t="s">
        <v>364</v>
      </c>
      <c r="G1172" s="4" t="s">
        <v>245</v>
      </c>
    </row>
    <row r="1173" spans="1:7" hidden="1" x14ac:dyDescent="0.2">
      <c r="A1173" t="s">
        <v>28</v>
      </c>
      <c r="B1173" t="s">
        <v>137</v>
      </c>
      <c r="C1173" s="4">
        <f>3.37720677179493%*(0.00171239274195283/(0.0914092651381309+0.00171239274195283))</f>
        <v>6.2102678321542632E-4</v>
      </c>
      <c r="D1173" t="s">
        <v>322</v>
      </c>
      <c r="E1173" t="s">
        <v>339</v>
      </c>
      <c r="F1173" t="s">
        <v>364</v>
      </c>
      <c r="G1173" s="4" t="s">
        <v>245</v>
      </c>
    </row>
    <row r="1174" spans="1:7" hidden="1" x14ac:dyDescent="0.2">
      <c r="A1174" t="s">
        <v>28</v>
      </c>
      <c r="B1174" t="s">
        <v>206</v>
      </c>
      <c r="C1174" s="4">
        <f>(0.0328453630665826/(0.0328453630665826+0.350336698877979+0.0822572721273277+0.0181224344560457+0.178561789731549)) * 0.00603101715938971%</f>
        <v>2.9917520044395329E-6</v>
      </c>
      <c r="D1174" t="s">
        <v>242</v>
      </c>
      <c r="E1174" t="s">
        <v>371</v>
      </c>
      <c r="F1174" t="s">
        <v>364</v>
      </c>
      <c r="G1174" s="4" t="s">
        <v>245</v>
      </c>
    </row>
    <row r="1175" spans="1:7" hidden="1" x14ac:dyDescent="0.2">
      <c r="A1175" t="s">
        <v>28</v>
      </c>
      <c r="B1175" t="s">
        <v>206</v>
      </c>
      <c r="C1175" s="4">
        <f>(0.350336698877979/(0.0328453630665826+0.350336698877979+0.0822572721273277+0.0181224344560457+0.178561789731549)) * 0.00603101715938971%</f>
        <v>3.1910760705315428E-5</v>
      </c>
      <c r="D1175" t="s">
        <v>256</v>
      </c>
      <c r="E1175" t="s">
        <v>369</v>
      </c>
      <c r="F1175" t="s">
        <v>364</v>
      </c>
      <c r="G1175" s="4" t="s">
        <v>245</v>
      </c>
    </row>
    <row r="1176" spans="1:7" hidden="1" x14ac:dyDescent="0.2">
      <c r="A1176" t="s">
        <v>28</v>
      </c>
      <c r="B1176" t="s">
        <v>206</v>
      </c>
      <c r="C1176" s="4">
        <f>(0.0822572721273277/(0.0328453630665826+0.350336698877979+0.0822572721273277+0.0181224344560457+0.178561789731549)) * 0.00603101715938971%</f>
        <v>7.4924840461587126E-6</v>
      </c>
      <c r="D1176" t="s">
        <v>256</v>
      </c>
      <c r="E1176" t="s">
        <v>366</v>
      </c>
      <c r="F1176" t="s">
        <v>364</v>
      </c>
      <c r="G1176" s="4" t="s">
        <v>245</v>
      </c>
    </row>
    <row r="1177" spans="1:7" hidden="1" x14ac:dyDescent="0.2">
      <c r="A1177" t="s">
        <v>28</v>
      </c>
      <c r="B1177" t="s">
        <v>206</v>
      </c>
      <c r="C1177" s="4">
        <f>(0.0181224344560457/(0.0328453630665826+0.350336698877979+0.0822572721273277+0.0181224344560457+0.178561789731549)) * 0.00603101715938971%</f>
        <v>1.650699658861767E-6</v>
      </c>
      <c r="D1177" t="s">
        <v>256</v>
      </c>
      <c r="E1177" t="s">
        <v>281</v>
      </c>
      <c r="F1177" t="s">
        <v>364</v>
      </c>
      <c r="G1177" s="4" t="s">
        <v>245</v>
      </c>
    </row>
    <row r="1178" spans="1:7" hidden="1" x14ac:dyDescent="0.2">
      <c r="A1178" t="s">
        <v>28</v>
      </c>
      <c r="B1178" t="s">
        <v>206</v>
      </c>
      <c r="C1178" s="4">
        <f>(0.178561789731549/(0.0328453630665826+0.350336698877979+0.0822572721273277+0.0181224344560457+0.178561789731549)) * 0.00603101715938971%</f>
        <v>1.6264475179121662E-5</v>
      </c>
      <c r="D1178" t="s">
        <v>256</v>
      </c>
      <c r="E1178" t="s">
        <v>367</v>
      </c>
      <c r="F1178" t="s">
        <v>364</v>
      </c>
      <c r="G1178" s="4" t="s">
        <v>245</v>
      </c>
    </row>
    <row r="1179" spans="1:7" hidden="1" x14ac:dyDescent="0.2">
      <c r="A1179" t="s">
        <v>28</v>
      </c>
      <c r="B1179" t="s">
        <v>121</v>
      </c>
      <c r="C1179" s="4">
        <f>(0.0328453630665826/(0.0328453630665826+0.350336698877979+0.0822572721273277+0.0181224344560457+0.178561789731549)) * 0.0513299870435658%</f>
        <v>2.5462801309784851E-5</v>
      </c>
      <c r="D1179" t="s">
        <v>242</v>
      </c>
      <c r="E1179" t="s">
        <v>371</v>
      </c>
      <c r="F1179" t="s">
        <v>364</v>
      </c>
      <c r="G1179" s="4" t="s">
        <v>245</v>
      </c>
    </row>
    <row r="1180" spans="1:7" hidden="1" x14ac:dyDescent="0.2">
      <c r="A1180" t="s">
        <v>28</v>
      </c>
      <c r="B1180" t="s">
        <v>121</v>
      </c>
      <c r="C1180" s="4">
        <f>(0.350336698877979/(0.0328453630665826+0.350336698877979+0.0822572721273277+0.0181224344560457+0.178561789731549)) * 0.0513299870435658%</f>
        <v>2.7159248436293948E-4</v>
      </c>
      <c r="D1180" t="s">
        <v>256</v>
      </c>
      <c r="E1180" t="s">
        <v>369</v>
      </c>
      <c r="F1180" t="s">
        <v>364</v>
      </c>
      <c r="G1180" s="4" t="s">
        <v>245</v>
      </c>
    </row>
    <row r="1181" spans="1:7" hidden="1" x14ac:dyDescent="0.2">
      <c r="A1181" t="s">
        <v>28</v>
      </c>
      <c r="B1181" t="s">
        <v>121</v>
      </c>
      <c r="C1181" s="4">
        <f>(0.0822572721273277/(0.0328453630665826+0.350336698877979+0.0822572721273277+0.0181224344560457+0.178561789731549)) * 0.0513299870435658%</f>
        <v>6.3768531716856759E-5</v>
      </c>
      <c r="D1181" t="s">
        <v>256</v>
      </c>
      <c r="E1181" t="s">
        <v>366</v>
      </c>
      <c r="F1181" t="s">
        <v>364</v>
      </c>
      <c r="G1181" s="4" t="s">
        <v>245</v>
      </c>
    </row>
    <row r="1182" spans="1:7" hidden="1" x14ac:dyDescent="0.2">
      <c r="A1182" t="s">
        <v>28</v>
      </c>
      <c r="B1182" t="s">
        <v>121</v>
      </c>
      <c r="C1182" s="4">
        <f>(0.0181224344560457/(0.0328453630665826+0.350336698877979+0.0822572721273277+0.0181224344560457+0.178561789731549)) * 0.0513299870435658%</f>
        <v>1.4049104796572491E-5</v>
      </c>
      <c r="D1182" t="s">
        <v>256</v>
      </c>
      <c r="E1182" t="s">
        <v>281</v>
      </c>
      <c r="F1182" t="s">
        <v>364</v>
      </c>
      <c r="G1182" s="4" t="s">
        <v>245</v>
      </c>
    </row>
    <row r="1183" spans="1:7" hidden="1" x14ac:dyDescent="0.2">
      <c r="A1183" t="s">
        <v>28</v>
      </c>
      <c r="B1183" t="s">
        <v>121</v>
      </c>
      <c r="C1183" s="4">
        <f>(0.178561789731549/(0.0328453630665826+0.350336698877979+0.0822572721273277+0.0181224344560457+0.178561789731549)) * 0.0513299870435658%</f>
        <v>1.384269482495044E-4</v>
      </c>
      <c r="D1183" t="s">
        <v>256</v>
      </c>
      <c r="E1183" t="s">
        <v>367</v>
      </c>
      <c r="F1183" t="s">
        <v>364</v>
      </c>
      <c r="G1183" s="4" t="s">
        <v>245</v>
      </c>
    </row>
    <row r="1184" spans="1:7" hidden="1" x14ac:dyDescent="0.2">
      <c r="A1184" t="s">
        <v>28</v>
      </c>
      <c r="B1184" t="s">
        <v>157</v>
      </c>
      <c r="C1184" s="4">
        <f>(0.0328453630665826/(0.0328453630665826+0.350336698877979+0.0822572721273277+0.0181224344560457+0.178561789731549)) * 2.06079856336346%</f>
        <v>1.0222816599169864E-3</v>
      </c>
      <c r="D1184" t="s">
        <v>242</v>
      </c>
      <c r="E1184" t="s">
        <v>371</v>
      </c>
      <c r="F1184" t="s">
        <v>364</v>
      </c>
      <c r="G1184" s="4" t="s">
        <v>245</v>
      </c>
    </row>
    <row r="1185" spans="1:7" hidden="1" x14ac:dyDescent="0.2">
      <c r="A1185" t="s">
        <v>28</v>
      </c>
      <c r="B1185" t="s">
        <v>157</v>
      </c>
      <c r="C1185" s="4">
        <f>(0.350336698877979/(0.0328453630665826+0.350336698877979+0.0822572721273277+0.0181224344560457+0.178561789731549)) * 2.06079856336346%</f>
        <v>1.090390693300626E-2</v>
      </c>
      <c r="D1185" t="s">
        <v>256</v>
      </c>
      <c r="E1185" t="s">
        <v>369</v>
      </c>
      <c r="F1185" t="s">
        <v>364</v>
      </c>
      <c r="G1185" s="4" t="s">
        <v>245</v>
      </c>
    </row>
    <row r="1186" spans="1:7" hidden="1" x14ac:dyDescent="0.2">
      <c r="A1186" t="s">
        <v>28</v>
      </c>
      <c r="B1186" t="s">
        <v>157</v>
      </c>
      <c r="C1186" s="4">
        <f>(0.0822572721273277/(0.0328453630665826+0.350336698877979+0.0822572721273277+0.0181224344560457+0.178561789731549)) * 2.06079856336346%</f>
        <v>2.5601817985724269E-3</v>
      </c>
      <c r="D1186" t="s">
        <v>256</v>
      </c>
      <c r="E1186" t="s">
        <v>366</v>
      </c>
      <c r="F1186" t="s">
        <v>364</v>
      </c>
      <c r="G1186" s="4" t="s">
        <v>245</v>
      </c>
    </row>
    <row r="1187" spans="1:7" hidden="1" x14ac:dyDescent="0.2">
      <c r="A1187" t="s">
        <v>28</v>
      </c>
      <c r="B1187" t="s">
        <v>157</v>
      </c>
      <c r="C1187" s="4">
        <f>(0.0181224344560457/(0.0328453630665826+0.350336698877979+0.0822572721273277+0.0181224344560457+0.178561789731549)) * 2.06079856336346%</f>
        <v>5.6404407343306462E-4</v>
      </c>
      <c r="D1187" t="s">
        <v>256</v>
      </c>
      <c r="E1187" t="s">
        <v>281</v>
      </c>
      <c r="F1187" t="s">
        <v>364</v>
      </c>
      <c r="G1187" s="4" t="s">
        <v>245</v>
      </c>
    </row>
    <row r="1188" spans="1:7" hidden="1" x14ac:dyDescent="0.2">
      <c r="A1188" t="s">
        <v>28</v>
      </c>
      <c r="B1188" t="s">
        <v>157</v>
      </c>
      <c r="C1188" s="4">
        <f>(0.178561789731549/(0.0328453630665826+0.350336698877979+0.0822572721273277+0.0181224344560457+0.178561789731549)) * 2.06079856336346%</f>
        <v>5.5575711687058608E-3</v>
      </c>
      <c r="D1188" t="s">
        <v>256</v>
      </c>
      <c r="E1188" t="s">
        <v>367</v>
      </c>
      <c r="F1188" t="s">
        <v>364</v>
      </c>
      <c r="G1188" s="4" t="s">
        <v>245</v>
      </c>
    </row>
    <row r="1189" spans="1:7" hidden="1" x14ac:dyDescent="0.2">
      <c r="A1189" t="s">
        <v>28</v>
      </c>
      <c r="B1189" t="s">
        <v>207</v>
      </c>
      <c r="C1189" s="4">
        <f>(0.0328453630665826/(0.0328453630665826+0.350336698877979+0.0822572721273277+0.0181224344560457+0.178561789731549)) * 0.710212580689732%</f>
        <v>3.5230871604279929E-4</v>
      </c>
      <c r="D1189" t="s">
        <v>242</v>
      </c>
      <c r="E1189" t="s">
        <v>371</v>
      </c>
      <c r="F1189" t="s">
        <v>364</v>
      </c>
      <c r="G1189" s="4" t="s">
        <v>245</v>
      </c>
    </row>
    <row r="1190" spans="1:7" hidden="1" x14ac:dyDescent="0.2">
      <c r="A1190" t="s">
        <v>28</v>
      </c>
      <c r="B1190" t="s">
        <v>207</v>
      </c>
      <c r="C1190" s="4">
        <f>(0.350336698877979/(0.0328453630665826+0.350336698877979+0.0822572721273277+0.0181224344560457+0.178561789731549)) * 0.710212580689732%</f>
        <v>3.7578111806579437E-3</v>
      </c>
      <c r="D1190" t="s">
        <v>256</v>
      </c>
      <c r="E1190" t="s">
        <v>369</v>
      </c>
      <c r="F1190" t="s">
        <v>364</v>
      </c>
      <c r="G1190" s="4" t="s">
        <v>245</v>
      </c>
    </row>
    <row r="1191" spans="1:7" hidden="1" x14ac:dyDescent="0.2">
      <c r="A1191" t="s">
        <v>28</v>
      </c>
      <c r="B1191" t="s">
        <v>207</v>
      </c>
      <c r="C1191" s="4">
        <f>(0.0822572721273277/(0.0328453630665826+0.350336698877979+0.0822572721273277+0.0181224344560457+0.178561789731549)) * 0.710212580689732%</f>
        <v>8.8231492127564966E-4</v>
      </c>
      <c r="D1191" t="s">
        <v>256</v>
      </c>
      <c r="E1191" t="s">
        <v>366</v>
      </c>
      <c r="F1191" t="s">
        <v>364</v>
      </c>
      <c r="G1191" s="4" t="s">
        <v>245</v>
      </c>
    </row>
    <row r="1192" spans="1:7" hidden="1" x14ac:dyDescent="0.2">
      <c r="A1192" t="s">
        <v>28</v>
      </c>
      <c r="B1192" t="s">
        <v>207</v>
      </c>
      <c r="C1192" s="4">
        <f>(0.0181224344560457/(0.0328453630665826+0.350336698877979+0.0822572721273277+0.0181224344560457+0.178561789731549)) * 0.710212580689732%</f>
        <v>1.9438639182756161E-4</v>
      </c>
      <c r="D1192" t="s">
        <v>256</v>
      </c>
      <c r="E1192" t="s">
        <v>281</v>
      </c>
      <c r="F1192" t="s">
        <v>364</v>
      </c>
      <c r="G1192" s="4" t="s">
        <v>245</v>
      </c>
    </row>
    <row r="1193" spans="1:7" hidden="1" x14ac:dyDescent="0.2">
      <c r="A1193" t="s">
        <v>28</v>
      </c>
      <c r="B1193" t="s">
        <v>207</v>
      </c>
      <c r="C1193" s="4">
        <f>(0.178561789731549/(0.0328453630665826+0.350336698877979+0.0822572721273277+0.0181224344560457+0.178561789731549)) * 0.710212580689732%</f>
        <v>1.9153045970933666E-3</v>
      </c>
      <c r="D1193" t="s">
        <v>256</v>
      </c>
      <c r="E1193" t="s">
        <v>367</v>
      </c>
      <c r="F1193" t="s">
        <v>364</v>
      </c>
      <c r="G1193" s="4" t="s">
        <v>245</v>
      </c>
    </row>
    <row r="1194" spans="1:7" hidden="1" x14ac:dyDescent="0.2">
      <c r="A1194" t="s">
        <v>28</v>
      </c>
      <c r="B1194" t="s">
        <v>138</v>
      </c>
      <c r="C1194" s="4">
        <v>2.4576394924513069E-3</v>
      </c>
      <c r="D1194" t="s">
        <v>314</v>
      </c>
      <c r="E1194" t="s">
        <v>338</v>
      </c>
      <c r="F1194" t="s">
        <v>364</v>
      </c>
      <c r="G1194" s="4" t="s">
        <v>245</v>
      </c>
    </row>
    <row r="1195" spans="1:7" hidden="1" x14ac:dyDescent="0.2">
      <c r="A1195" t="s">
        <v>28</v>
      </c>
      <c r="B1195" t="s">
        <v>208</v>
      </c>
      <c r="C1195" s="4">
        <f>(0.0328453630665826/(0.0328453630665826+0.350336698877979+0.0822572721273277+0.0181224344560457+0.178561789731549)) * 0.000108558308869015%</f>
        <v>5.3851536079911705E-8</v>
      </c>
      <c r="D1195" t="s">
        <v>242</v>
      </c>
      <c r="E1195" t="s">
        <v>371</v>
      </c>
      <c r="F1195" t="s">
        <v>364</v>
      </c>
      <c r="G1195" s="4" t="s">
        <v>245</v>
      </c>
    </row>
    <row r="1196" spans="1:7" hidden="1" x14ac:dyDescent="0.2">
      <c r="A1196" t="s">
        <v>28</v>
      </c>
      <c r="B1196" t="s">
        <v>208</v>
      </c>
      <c r="C1196" s="4">
        <f>(0.350336698877979/(0.0328453630665826+0.350336698877979+0.0822572721273277+0.0181224344560457+0.178561789731549)) * 0.000108558308869015%</f>
        <v>5.743936926956789E-7</v>
      </c>
      <c r="D1196" t="s">
        <v>256</v>
      </c>
      <c r="E1196" t="s">
        <v>369</v>
      </c>
      <c r="F1196" t="s">
        <v>364</v>
      </c>
      <c r="G1196" s="4" t="s">
        <v>245</v>
      </c>
    </row>
    <row r="1197" spans="1:7" hidden="1" x14ac:dyDescent="0.2">
      <c r="A1197" t="s">
        <v>28</v>
      </c>
      <c r="B1197" t="s">
        <v>208</v>
      </c>
      <c r="C1197" s="4">
        <f>(0.0822572721273277/(0.0328453630665826+0.350336698877979+0.0822572721273277+0.0181224344560457+0.178561789731549)) * 0.000108558308869015%</f>
        <v>1.348647128308571E-7</v>
      </c>
      <c r="D1197" t="s">
        <v>256</v>
      </c>
      <c r="E1197" t="s">
        <v>366</v>
      </c>
      <c r="F1197" t="s">
        <v>364</v>
      </c>
      <c r="G1197" s="4" t="s">
        <v>245</v>
      </c>
    </row>
    <row r="1198" spans="1:7" hidden="1" x14ac:dyDescent="0.2">
      <c r="A1198" t="s">
        <v>28</v>
      </c>
      <c r="B1198" t="s">
        <v>208</v>
      </c>
      <c r="C1198" s="4">
        <f>(0.0181224344560457/(0.0328453630665826+0.350336698877979+0.0822572721273277+0.0181224344560457+0.178561789731549)) * 0.000108558308869015%</f>
        <v>2.9712593859511866E-8</v>
      </c>
      <c r="D1198" t="s">
        <v>256</v>
      </c>
      <c r="E1198" t="s">
        <v>281</v>
      </c>
      <c r="F1198" t="s">
        <v>364</v>
      </c>
      <c r="G1198" s="4" t="s">
        <v>245</v>
      </c>
    </row>
    <row r="1199" spans="1:7" hidden="1" x14ac:dyDescent="0.2">
      <c r="A1199" t="s">
        <v>28</v>
      </c>
      <c r="B1199" t="s">
        <v>208</v>
      </c>
      <c r="C1199" s="4">
        <f>(0.178561789731549/(0.0328453630665826+0.350336698877979+0.0822572721273277+0.0181224344560457+0.178561789731549)) * 0.000108558308869015%</f>
        <v>2.9276055322419054E-7</v>
      </c>
      <c r="D1199" t="s">
        <v>256</v>
      </c>
      <c r="E1199" t="s">
        <v>367</v>
      </c>
      <c r="F1199" t="s">
        <v>364</v>
      </c>
      <c r="G1199" s="4" t="s">
        <v>245</v>
      </c>
    </row>
    <row r="1200" spans="1:7" hidden="1" x14ac:dyDescent="0.2">
      <c r="A1200" t="s">
        <v>28</v>
      </c>
      <c r="B1200" t="s">
        <v>139</v>
      </c>
      <c r="C1200" s="4">
        <f>(0.0328453630665826/(0.0328453630665826+0.350336698877979+0.0822572721273277+0.0181224344560457+0.178561789731549)) * 0.22432971426066%</f>
        <v>1.1128120755713304E-4</v>
      </c>
      <c r="D1200" t="s">
        <v>242</v>
      </c>
      <c r="E1200" t="s">
        <v>371</v>
      </c>
      <c r="F1200" t="s">
        <v>364</v>
      </c>
      <c r="G1200" s="4" t="s">
        <v>245</v>
      </c>
    </row>
    <row r="1201" spans="1:7" hidden="1" x14ac:dyDescent="0.2">
      <c r="A1201" t="s">
        <v>28</v>
      </c>
      <c r="B1201" t="s">
        <v>139</v>
      </c>
      <c r="C1201" s="4">
        <f>(0.350336698877979/(0.0328453630665826+0.350336698877979+0.0822572721273277+0.0181224344560457+0.178561789731549)) * 0.22432971426066%</f>
        <v>1.1869526551949146E-3</v>
      </c>
      <c r="D1201" t="s">
        <v>256</v>
      </c>
      <c r="E1201" t="s">
        <v>369</v>
      </c>
      <c r="F1201" t="s">
        <v>364</v>
      </c>
      <c r="G1201" s="4" t="s">
        <v>245</v>
      </c>
    </row>
    <row r="1202" spans="1:7" hidden="1" x14ac:dyDescent="0.2">
      <c r="A1202" t="s">
        <v>28</v>
      </c>
      <c r="B1202" t="s">
        <v>139</v>
      </c>
      <c r="C1202" s="4">
        <f>(0.0822572721273277/(0.0328453630665826+0.350336698877979+0.0822572721273277+0.0181224344560457+0.178561789731549)) * 0.22432971426066%</f>
        <v>2.7869043658091991E-4</v>
      </c>
      <c r="D1202" t="s">
        <v>256</v>
      </c>
      <c r="E1202" t="s">
        <v>366</v>
      </c>
      <c r="F1202" t="s">
        <v>364</v>
      </c>
      <c r="G1202" s="4" t="s">
        <v>245</v>
      </c>
    </row>
    <row r="1203" spans="1:7" hidden="1" x14ac:dyDescent="0.2">
      <c r="A1203" t="s">
        <v>28</v>
      </c>
      <c r="B1203" t="s">
        <v>139</v>
      </c>
      <c r="C1203" s="4">
        <f>(0.0181224344560457/(0.0328453630665826+0.350336698877979+0.0822572721273277+0.0181224344560457+0.178561789731549)) * 0.22432971426066%</f>
        <v>6.1399424511022376E-5</v>
      </c>
      <c r="D1203" t="s">
        <v>256</v>
      </c>
      <c r="E1203" t="s">
        <v>281</v>
      </c>
      <c r="F1203" t="s">
        <v>364</v>
      </c>
      <c r="G1203" s="4" t="s">
        <v>245</v>
      </c>
    </row>
    <row r="1204" spans="1:7" hidden="1" x14ac:dyDescent="0.2">
      <c r="A1204" t="s">
        <v>28</v>
      </c>
      <c r="B1204" t="s">
        <v>139</v>
      </c>
      <c r="C1204" s="4">
        <f>(0.178561789731549/(0.0328453630665826+0.350336698877979+0.0822572721273277+0.0181224344560457+0.178561789731549)) * 0.22432971426066%</f>
        <v>6.0497341876261039E-4</v>
      </c>
      <c r="D1204" t="s">
        <v>256</v>
      </c>
      <c r="E1204" t="s">
        <v>367</v>
      </c>
      <c r="F1204" t="s">
        <v>364</v>
      </c>
      <c r="G1204" s="4" t="s">
        <v>245</v>
      </c>
    </row>
    <row r="1205" spans="1:7" hidden="1" x14ac:dyDescent="0.2">
      <c r="A1205" t="s">
        <v>28</v>
      </c>
      <c r="B1205" t="s">
        <v>111</v>
      </c>
      <c r="C1205" s="4">
        <v>1.485722984164177E-2</v>
      </c>
      <c r="D1205" t="s">
        <v>370</v>
      </c>
      <c r="E1205" t="s">
        <v>363</v>
      </c>
      <c r="F1205" t="s">
        <v>364</v>
      </c>
      <c r="G1205" s="4" t="s">
        <v>245</v>
      </c>
    </row>
    <row r="1206" spans="1:7" hidden="1" x14ac:dyDescent="0.2">
      <c r="A1206" t="s">
        <v>28</v>
      </c>
      <c r="B1206" t="s">
        <v>209</v>
      </c>
      <c r="C1206" s="4">
        <f>(0.0328453630665826/(0.0328453630665826+0.350336698877979+0.0822572721273277+0.0181224344560457+0.178561789731549)) * 0.361861029563383%</f>
        <v>1.7950512026637216E-4</v>
      </c>
      <c r="D1206" t="s">
        <v>242</v>
      </c>
      <c r="E1206" t="s">
        <v>371</v>
      </c>
      <c r="F1206" t="s">
        <v>364</v>
      </c>
      <c r="G1206" s="4" t="s">
        <v>245</v>
      </c>
    </row>
    <row r="1207" spans="1:7" hidden="1" x14ac:dyDescent="0.2">
      <c r="A1207" t="s">
        <v>28</v>
      </c>
      <c r="B1207" t="s">
        <v>209</v>
      </c>
      <c r="C1207" s="4">
        <f>(0.350336698877979/(0.0328453630665826+0.350336698877979+0.0822572721273277+0.0181224344560457+0.178561789731549)) * 0.361861029563383%</f>
        <v>1.9146456423189278E-3</v>
      </c>
      <c r="D1207" t="s">
        <v>256</v>
      </c>
      <c r="E1207" t="s">
        <v>369</v>
      </c>
      <c r="F1207" t="s">
        <v>364</v>
      </c>
      <c r="G1207" s="4" t="s">
        <v>245</v>
      </c>
    </row>
    <row r="1208" spans="1:7" hidden="1" x14ac:dyDescent="0.2">
      <c r="A1208" t="s">
        <v>28</v>
      </c>
      <c r="B1208" t="s">
        <v>209</v>
      </c>
      <c r="C1208" s="4">
        <f>(0.0822572721273277/(0.0328453630665826+0.350336698877979+0.0822572721273277+0.0181224344560457+0.178561789731549)) * 0.361861029563383%</f>
        <v>4.4954904276952321E-4</v>
      </c>
      <c r="D1208" t="s">
        <v>256</v>
      </c>
      <c r="E1208" t="s">
        <v>366</v>
      </c>
      <c r="F1208" t="s">
        <v>364</v>
      </c>
      <c r="G1208" s="4" t="s">
        <v>245</v>
      </c>
    </row>
    <row r="1209" spans="1:7" hidden="1" x14ac:dyDescent="0.2">
      <c r="A1209" t="s">
        <v>28</v>
      </c>
      <c r="B1209" t="s">
        <v>209</v>
      </c>
      <c r="C1209" s="4">
        <f>(0.0181224344560457/(0.0328453630665826+0.350336698877979+0.0822572721273277+0.0181224344560457+0.178561789731549)) * 0.361861029563383%</f>
        <v>9.9041979531706116E-5</v>
      </c>
      <c r="D1209" t="s">
        <v>256</v>
      </c>
      <c r="E1209" t="s">
        <v>281</v>
      </c>
      <c r="F1209" t="s">
        <v>364</v>
      </c>
      <c r="G1209" s="4" t="s">
        <v>245</v>
      </c>
    </row>
    <row r="1210" spans="1:7" hidden="1" x14ac:dyDescent="0.2">
      <c r="A1210" t="s">
        <v>28</v>
      </c>
      <c r="B1210" t="s">
        <v>209</v>
      </c>
      <c r="C1210" s="4">
        <f>(0.178561789731549/(0.0328453630665826+0.350336698877979+0.0822572721273277+0.0181224344560457+0.178561789731549)) * 0.361861029563383%</f>
        <v>9.7586851074730075E-4</v>
      </c>
      <c r="D1210" t="s">
        <v>256</v>
      </c>
      <c r="E1210" t="s">
        <v>367</v>
      </c>
      <c r="F1210" t="s">
        <v>364</v>
      </c>
      <c r="G1210" s="4" t="s">
        <v>245</v>
      </c>
    </row>
    <row r="1211" spans="1:7" hidden="1" x14ac:dyDescent="0.2">
      <c r="A1211" t="s">
        <v>28</v>
      </c>
      <c r="B1211" t="s">
        <v>112</v>
      </c>
      <c r="C1211" s="4">
        <f>(0.0328453630665826/(0.0328453630665826+0.350336698877979+0.0822572721273277+0.0181224344560457+0.178561789731549)) * 1.02816780533276%</f>
        <v>5.1003388171685276E-4</v>
      </c>
      <c r="D1211" t="s">
        <v>242</v>
      </c>
      <c r="E1211" t="s">
        <v>371</v>
      </c>
      <c r="F1211" t="s">
        <v>364</v>
      </c>
      <c r="G1211" s="4" t="s">
        <v>245</v>
      </c>
    </row>
    <row r="1212" spans="1:7" hidden="1" x14ac:dyDescent="0.2">
      <c r="A1212" t="s">
        <v>28</v>
      </c>
      <c r="B1212" t="s">
        <v>112</v>
      </c>
      <c r="C1212" s="4">
        <f>(0.350336698877979/(0.0328453630665826+0.350336698877979+0.0822572721273277+0.0181224344560457+0.178561789731549)) * 1.02816780533276%</f>
        <v>5.4401464850421868E-3</v>
      </c>
      <c r="D1212" t="s">
        <v>256</v>
      </c>
      <c r="E1212" t="s">
        <v>369</v>
      </c>
      <c r="F1212" t="s">
        <v>364</v>
      </c>
      <c r="G1212" s="4" t="s">
        <v>245</v>
      </c>
    </row>
    <row r="1213" spans="1:7" hidden="1" x14ac:dyDescent="0.2">
      <c r="A1213" t="s">
        <v>28</v>
      </c>
      <c r="B1213" t="s">
        <v>112</v>
      </c>
      <c r="C1213" s="4">
        <f>(0.0822572721273277/(0.0328453630665826+0.350336698877979+0.0822572721273277+0.0181224344560457+0.178561789731549)) * 1.02816780533276%</f>
        <v>1.2773186801891402E-3</v>
      </c>
      <c r="D1213" t="s">
        <v>256</v>
      </c>
      <c r="E1213" t="s">
        <v>366</v>
      </c>
      <c r="F1213" t="s">
        <v>364</v>
      </c>
      <c r="G1213" s="4" t="s">
        <v>245</v>
      </c>
    </row>
    <row r="1214" spans="1:7" hidden="1" x14ac:dyDescent="0.2">
      <c r="A1214" t="s">
        <v>28</v>
      </c>
      <c r="B1214" t="s">
        <v>112</v>
      </c>
      <c r="C1214" s="4">
        <f>(0.0181224344560457/(0.0328453630665826+0.350336698877979+0.0822572721273277+0.0181224344560457+0.178561789731549)) * 1.02816780533276%</f>
        <v>2.8141127784275468E-4</v>
      </c>
      <c r="D1214" t="s">
        <v>256</v>
      </c>
      <c r="E1214" t="s">
        <v>281</v>
      </c>
      <c r="F1214" t="s">
        <v>364</v>
      </c>
      <c r="G1214" s="4" t="s">
        <v>245</v>
      </c>
    </row>
    <row r="1215" spans="1:7" hidden="1" x14ac:dyDescent="0.2">
      <c r="A1215" t="s">
        <v>28</v>
      </c>
      <c r="B1215" t="s">
        <v>112</v>
      </c>
      <c r="C1215" s="4">
        <f>(0.178561789731549/(0.0328453630665826+0.350336698877979+0.0822572721273277+0.0181224344560457+0.178561789731549)) * 1.02816780533276%</f>
        <v>2.7727677285366674E-3</v>
      </c>
      <c r="D1215" t="s">
        <v>256</v>
      </c>
      <c r="E1215" t="s">
        <v>367</v>
      </c>
      <c r="F1215" t="s">
        <v>364</v>
      </c>
      <c r="G1215" s="4" t="s">
        <v>245</v>
      </c>
    </row>
    <row r="1216" spans="1:7" hidden="1" x14ac:dyDescent="0.2">
      <c r="A1216" t="s">
        <v>28</v>
      </c>
      <c r="B1216" t="s">
        <v>113</v>
      </c>
      <c r="C1216" s="4">
        <v>6.2896512992529796E-2</v>
      </c>
      <c r="D1216" t="s">
        <v>277</v>
      </c>
      <c r="E1216" t="s">
        <v>363</v>
      </c>
      <c r="F1216" t="s">
        <v>364</v>
      </c>
      <c r="G1216" s="4" t="s">
        <v>245</v>
      </c>
    </row>
    <row r="1217" spans="1:7" hidden="1" x14ac:dyDescent="0.2">
      <c r="A1217" t="s">
        <v>28</v>
      </c>
      <c r="B1217" t="s">
        <v>142</v>
      </c>
      <c r="C1217" s="4">
        <f>(0.0328453630665826/(0.0328453630665826+0.350336698877979+0.0822572721273277+0.0181224344560457+0.178561789731549)) * 0.000241240686375588%</f>
        <v>1.196700801775811E-7</v>
      </c>
      <c r="D1217" t="s">
        <v>242</v>
      </c>
      <c r="E1217" t="s">
        <v>371</v>
      </c>
      <c r="F1217" t="s">
        <v>364</v>
      </c>
      <c r="G1217" s="4" t="s">
        <v>245</v>
      </c>
    </row>
    <row r="1218" spans="1:7" hidden="1" x14ac:dyDescent="0.2">
      <c r="A1218" t="s">
        <v>28</v>
      </c>
      <c r="B1218" t="s">
        <v>142</v>
      </c>
      <c r="C1218" s="4">
        <f>(0.350336698877979/(0.0328453630665826+0.350336698877979+0.0822572721273277+0.0181224344560457+0.178561789731549)) * 0.000241240686375588%</f>
        <v>1.276430428212615E-6</v>
      </c>
      <c r="D1218" t="s">
        <v>256</v>
      </c>
      <c r="E1218" t="s">
        <v>369</v>
      </c>
      <c r="F1218" t="s">
        <v>364</v>
      </c>
      <c r="G1218" s="4" t="s">
        <v>245</v>
      </c>
    </row>
    <row r="1219" spans="1:7" hidden="1" x14ac:dyDescent="0.2">
      <c r="A1219" t="s">
        <v>28</v>
      </c>
      <c r="B1219" t="s">
        <v>142</v>
      </c>
      <c r="C1219" s="4">
        <f>(0.0822572721273277/(0.0328453630665826+0.350336698877979+0.0822572721273277+0.0181224344560457+0.178561789731549)) * 0.000241240686375588%</f>
        <v>2.9969936184634799E-7</v>
      </c>
      <c r="D1219" t="s">
        <v>256</v>
      </c>
      <c r="E1219" t="s">
        <v>366</v>
      </c>
      <c r="F1219" t="s">
        <v>364</v>
      </c>
      <c r="G1219" s="4" t="s">
        <v>245</v>
      </c>
    </row>
    <row r="1220" spans="1:7" hidden="1" x14ac:dyDescent="0.2">
      <c r="A1220" t="s">
        <v>28</v>
      </c>
      <c r="B1220" t="s">
        <v>142</v>
      </c>
      <c r="C1220" s="4">
        <f>(0.0181224344560457/(0.0328453630665826+0.350336698877979+0.0822572721273277+0.0181224344560457+0.178561789731549)) * 0.000241240686375588%</f>
        <v>6.6027986354470559E-8</v>
      </c>
      <c r="D1220" t="s">
        <v>256</v>
      </c>
      <c r="E1220" t="s">
        <v>281</v>
      </c>
      <c r="F1220" t="s">
        <v>364</v>
      </c>
      <c r="G1220" s="4" t="s">
        <v>245</v>
      </c>
    </row>
    <row r="1221" spans="1:7" hidden="1" x14ac:dyDescent="0.2">
      <c r="A1221" t="s">
        <v>28</v>
      </c>
      <c r="B1221" t="s">
        <v>142</v>
      </c>
      <c r="C1221" s="4">
        <f>(0.178561789731549/(0.0328453630665826+0.350336698877979+0.0822572721273277+0.0181224344560457+0.178561789731549)) * 0.000241240686375588%</f>
        <v>6.5057900716486537E-7</v>
      </c>
      <c r="D1221" t="s">
        <v>256</v>
      </c>
      <c r="E1221" t="s">
        <v>367</v>
      </c>
      <c r="F1221" t="s">
        <v>364</v>
      </c>
      <c r="G1221" s="4" t="s">
        <v>245</v>
      </c>
    </row>
    <row r="1222" spans="1:7" hidden="1" x14ac:dyDescent="0.2">
      <c r="A1222" t="s">
        <v>28</v>
      </c>
      <c r="B1222" t="s">
        <v>140</v>
      </c>
      <c r="C1222" s="4">
        <f>(0.0328453630665826/(0.0328453630665826+0.350336698877979+0.0822572721273277+0.0181224344560457+0.178561789731549)) * 0.000946869694024185%</f>
        <v>4.6970506469700698E-7</v>
      </c>
      <c r="D1222" t="s">
        <v>242</v>
      </c>
      <c r="E1222" t="s">
        <v>371</v>
      </c>
      <c r="F1222" t="s">
        <v>364</v>
      </c>
      <c r="G1222" s="4" t="s">
        <v>245</v>
      </c>
    </row>
    <row r="1223" spans="1:7" hidden="1" x14ac:dyDescent="0.2">
      <c r="A1223" t="s">
        <v>28</v>
      </c>
      <c r="B1223" t="s">
        <v>140</v>
      </c>
      <c r="C1223" s="4">
        <f>(0.350336698877979/(0.0328453630665826+0.350336698877979+0.0822572721273277+0.0181224344560457+0.178561789731549)) * 0.000946869694024185%</f>
        <v>5.0099894307345252E-6</v>
      </c>
      <c r="D1223" t="s">
        <v>256</v>
      </c>
      <c r="E1223" t="s">
        <v>369</v>
      </c>
      <c r="F1223" t="s">
        <v>364</v>
      </c>
      <c r="G1223" s="4" t="s">
        <v>245</v>
      </c>
    </row>
    <row r="1224" spans="1:7" hidden="1" x14ac:dyDescent="0.2">
      <c r="A1224" t="s">
        <v>28</v>
      </c>
      <c r="B1224" t="s">
        <v>140</v>
      </c>
      <c r="C1224" s="4">
        <f>(0.0822572721273277/(0.0328453630665826+0.350336698877979+0.0822572721273277+0.0181224344560457+0.178561789731549)) * 0.000946869694024185%</f>
        <v>1.1763199952469186E-6</v>
      </c>
      <c r="D1224" t="s">
        <v>256</v>
      </c>
      <c r="E1224" t="s">
        <v>366</v>
      </c>
      <c r="F1224" t="s">
        <v>364</v>
      </c>
      <c r="G1224" s="4" t="s">
        <v>245</v>
      </c>
    </row>
    <row r="1225" spans="1:7" hidden="1" x14ac:dyDescent="0.2">
      <c r="A1225" t="s">
        <v>28</v>
      </c>
      <c r="B1225" t="s">
        <v>140</v>
      </c>
      <c r="C1225" s="4">
        <f>(0.0181224344560457/(0.0328453630665826+0.350336698877979+0.0822572721273277+0.0181224344560457+0.178561789731549)) * 0.000946869694024185%</f>
        <v>2.5915984644129757E-7</v>
      </c>
      <c r="D1225" t="s">
        <v>256</v>
      </c>
      <c r="E1225" t="s">
        <v>281</v>
      </c>
      <c r="F1225" t="s">
        <v>364</v>
      </c>
      <c r="G1225" s="4" t="s">
        <v>245</v>
      </c>
    </row>
    <row r="1226" spans="1:7" hidden="1" x14ac:dyDescent="0.2">
      <c r="A1226" t="s">
        <v>28</v>
      </c>
      <c r="B1226" t="s">
        <v>140</v>
      </c>
      <c r="C1226" s="4">
        <f>(0.178561789731549/(0.0328453630665826+0.350336698877979+0.0822572721273277+0.0181224344560457+0.178561789731549)) * 0.000946869694024185%</f>
        <v>2.5535226031221025E-6</v>
      </c>
      <c r="D1226" t="s">
        <v>256</v>
      </c>
      <c r="E1226" t="s">
        <v>367</v>
      </c>
      <c r="F1226" t="s">
        <v>364</v>
      </c>
      <c r="G1226" s="4" t="s">
        <v>245</v>
      </c>
    </row>
    <row r="1227" spans="1:7" hidden="1" x14ac:dyDescent="0.2">
      <c r="A1227" t="s">
        <v>28</v>
      </c>
      <c r="B1227" t="s">
        <v>210</v>
      </c>
      <c r="C1227" s="4">
        <f>(0.0328453630665826/(0.0328453630665826+0.350336698877979+0.0822572721273277+0.0181224344560457+0.178561789731549)) * 0.00920936320238809%</f>
        <v>4.568405310779168E-6</v>
      </c>
      <c r="D1227" t="s">
        <v>242</v>
      </c>
      <c r="E1227" t="s">
        <v>371</v>
      </c>
      <c r="F1227" t="s">
        <v>364</v>
      </c>
      <c r="G1227" s="4" t="s">
        <v>245</v>
      </c>
    </row>
    <row r="1228" spans="1:7" hidden="1" x14ac:dyDescent="0.2">
      <c r="A1228" t="s">
        <v>28</v>
      </c>
      <c r="B1228" t="s">
        <v>210</v>
      </c>
      <c r="C1228" s="4">
        <f>(0.350336698877979/(0.0328453630665826+0.350336698877979+0.0822572721273277+0.0181224344560457+0.178561789731549)) * 0.00920936320238809%</f>
        <v>4.8727731597016674E-5</v>
      </c>
      <c r="D1228" t="s">
        <v>256</v>
      </c>
      <c r="E1228" t="s">
        <v>369</v>
      </c>
      <c r="F1228" t="s">
        <v>364</v>
      </c>
      <c r="G1228" s="4" t="s">
        <v>245</v>
      </c>
    </row>
    <row r="1229" spans="1:7" hidden="1" x14ac:dyDescent="0.2">
      <c r="A1229" t="s">
        <v>28</v>
      </c>
      <c r="B1229" t="s">
        <v>210</v>
      </c>
      <c r="C1229" s="4">
        <f>(0.0822572721273277/(0.0328453630665826+0.350336698877979+0.0822572721273277+0.0181224344560457+0.178561789731549)) * 0.00920936320238809%</f>
        <v>1.1441023138484358E-5</v>
      </c>
      <c r="D1229" t="s">
        <v>256</v>
      </c>
      <c r="E1229" t="s">
        <v>366</v>
      </c>
      <c r="F1229" t="s">
        <v>364</v>
      </c>
      <c r="G1229" s="4" t="s">
        <v>245</v>
      </c>
    </row>
    <row r="1230" spans="1:7" hidden="1" x14ac:dyDescent="0.2">
      <c r="A1230" t="s">
        <v>28</v>
      </c>
      <c r="B1230" t="s">
        <v>210</v>
      </c>
      <c r="C1230" s="4">
        <f>(0.0181224344560457/(0.0328453630665826+0.350336698877979+0.0822572721273277+0.0181224344560457+0.178561789731549)) * 0.00920936320238809%</f>
        <v>2.520618379081919E-6</v>
      </c>
      <c r="D1230" t="s">
        <v>256</v>
      </c>
      <c r="E1230" t="s">
        <v>281</v>
      </c>
      <c r="F1230" t="s">
        <v>364</v>
      </c>
      <c r="G1230" s="4" t="s">
        <v>245</v>
      </c>
    </row>
    <row r="1231" spans="1:7" hidden="1" x14ac:dyDescent="0.2">
      <c r="A1231" t="s">
        <v>28</v>
      </c>
      <c r="B1231" t="s">
        <v>210</v>
      </c>
      <c r="C1231" s="4">
        <f>(0.178561789731549/(0.0328453630665826+0.350336698877979+0.0822572721273277+0.0181224344560457+0.178561789731549)) * 0.00920936320238809%</f>
        <v>2.4835853598518788E-5</v>
      </c>
      <c r="D1231" t="s">
        <v>256</v>
      </c>
      <c r="E1231" t="s">
        <v>367</v>
      </c>
      <c r="F1231" t="s">
        <v>364</v>
      </c>
      <c r="G1231" s="4" t="s">
        <v>245</v>
      </c>
    </row>
    <row r="1232" spans="1:7" hidden="1" x14ac:dyDescent="0.2">
      <c r="A1232" t="s">
        <v>28</v>
      </c>
      <c r="B1232" t="s">
        <v>180</v>
      </c>
      <c r="C1232" s="4">
        <f>(0.0328453630665826/(0.0328453630665826+0.350336698877979+0.0822572721273277+0.0181224344560457+0.178561789731549)) * 2.89860334307725%</f>
        <v>1.4378838813657131E-3</v>
      </c>
      <c r="D1232" t="s">
        <v>242</v>
      </c>
      <c r="E1232" t="s">
        <v>371</v>
      </c>
      <c r="F1232" t="s">
        <v>364</v>
      </c>
      <c r="G1232" s="4" t="s">
        <v>245</v>
      </c>
    </row>
    <row r="1233" spans="1:7" hidden="1" x14ac:dyDescent="0.2">
      <c r="A1233" t="s">
        <v>28</v>
      </c>
      <c r="B1233" t="s">
        <v>180</v>
      </c>
      <c r="C1233" s="4">
        <f>(0.350336698877979/(0.0328453630665826+0.350336698877979+0.0822572721273277+0.0181224344560457+0.178561789731549)) * 2.89860334307725%</f>
        <v>1.5336822167145908E-2</v>
      </c>
      <c r="D1233" t="s">
        <v>256</v>
      </c>
      <c r="E1233" t="s">
        <v>369</v>
      </c>
      <c r="F1233" t="s">
        <v>364</v>
      </c>
      <c r="G1233" s="4" t="s">
        <v>245</v>
      </c>
    </row>
    <row r="1234" spans="1:7" hidden="1" x14ac:dyDescent="0.2">
      <c r="A1234" t="s">
        <v>28</v>
      </c>
      <c r="B1234" t="s">
        <v>180</v>
      </c>
      <c r="C1234" s="4">
        <f>(0.0822572721273277/(0.0328453630665826+0.350336698877979+0.0822572721273277+0.0181224344560457+0.178561789731549)) * 2.89860334307725%</f>
        <v>3.6010077123286221E-3</v>
      </c>
      <c r="D1234" t="s">
        <v>256</v>
      </c>
      <c r="E1234" t="s">
        <v>366</v>
      </c>
      <c r="F1234" t="s">
        <v>364</v>
      </c>
      <c r="G1234" s="4" t="s">
        <v>245</v>
      </c>
    </row>
    <row r="1235" spans="1:7" hidden="1" x14ac:dyDescent="0.2">
      <c r="A1235" t="s">
        <v>28</v>
      </c>
      <c r="B1235" t="s">
        <v>180</v>
      </c>
      <c r="C1235" s="4">
        <f>(0.0181224344560457/(0.0328453630665826+0.350336698877979+0.0822572721273277+0.0181224344560457+0.178561789731549)) * 2.89860334307725%</f>
        <v>7.9335266724350848E-4</v>
      </c>
      <c r="D1235" t="s">
        <v>256</v>
      </c>
      <c r="E1235" t="s">
        <v>281</v>
      </c>
      <c r="F1235" t="s">
        <v>364</v>
      </c>
      <c r="G1235" s="4" t="s">
        <v>245</v>
      </c>
    </row>
    <row r="1236" spans="1:7" hidden="1" x14ac:dyDescent="0.2">
      <c r="A1236" t="s">
        <v>28</v>
      </c>
      <c r="B1236" t="s">
        <v>180</v>
      </c>
      <c r="C1236" s="4">
        <f>(0.178561789731549/(0.0328453630665826+0.350336698877979+0.0822572721273277+0.0181224344560457+0.178561789731549)) * 2.89860334307725%</f>
        <v>7.8169670026887513E-3</v>
      </c>
      <c r="D1236" t="s">
        <v>256</v>
      </c>
      <c r="E1236" t="s">
        <v>367</v>
      </c>
      <c r="F1236" t="s">
        <v>364</v>
      </c>
      <c r="G1236" s="4" t="s">
        <v>245</v>
      </c>
    </row>
    <row r="1237" spans="1:7" hidden="1" x14ac:dyDescent="0.2">
      <c r="A1237" t="s">
        <v>28</v>
      </c>
      <c r="B1237" t="s">
        <v>114</v>
      </c>
      <c r="C1237" s="4">
        <f>(0.0328453630665826/(0.0328453630665826+0.350336698877979+0.0822572721273277+0.0181224344560457+0.178561789731549)) * 0.329625242846445%</f>
        <v>1.6351420580264288E-4</v>
      </c>
      <c r="D1237" t="s">
        <v>242</v>
      </c>
      <c r="E1237" t="s">
        <v>371</v>
      </c>
      <c r="F1237" t="s">
        <v>364</v>
      </c>
      <c r="G1237" s="4" t="s">
        <v>245</v>
      </c>
    </row>
    <row r="1238" spans="1:7" hidden="1" x14ac:dyDescent="0.2">
      <c r="A1238" t="s">
        <v>28</v>
      </c>
      <c r="B1238" t="s">
        <v>114</v>
      </c>
      <c r="C1238" s="4">
        <f>(0.350336698877979/(0.0328453630665826+0.350336698877979+0.0822572721273277+0.0181224344560457+0.178561789731549)) * 0.329625242846445%</f>
        <v>1.7440826263490168E-3</v>
      </c>
      <c r="D1238" t="s">
        <v>256</v>
      </c>
      <c r="E1238" t="s">
        <v>369</v>
      </c>
      <c r="F1238" t="s">
        <v>364</v>
      </c>
      <c r="G1238" s="4" t="s">
        <v>245</v>
      </c>
    </row>
    <row r="1239" spans="1:7" hidden="1" x14ac:dyDescent="0.2">
      <c r="A1239" t="s">
        <v>28</v>
      </c>
      <c r="B1239" t="s">
        <v>114</v>
      </c>
      <c r="C1239" s="4">
        <f>(0.0822572721273277/(0.0328453630665826+0.350336698877979+0.0822572721273277+0.0181224344560457+0.178561789731549)) * 0.329625242846445%</f>
        <v>4.0950171554280491E-4</v>
      </c>
      <c r="D1239" t="s">
        <v>256</v>
      </c>
      <c r="E1239" t="s">
        <v>366</v>
      </c>
      <c r="F1239" t="s">
        <v>364</v>
      </c>
      <c r="G1239" s="4" t="s">
        <v>245</v>
      </c>
    </row>
    <row r="1240" spans="1:7" hidden="1" x14ac:dyDescent="0.2">
      <c r="A1240" t="s">
        <v>28</v>
      </c>
      <c r="B1240" t="s">
        <v>114</v>
      </c>
      <c r="C1240" s="4">
        <f>(0.0181224344560457/(0.0328453630665826+0.350336698877979+0.0822572721273277+0.0181224344560457+0.178561789731549)) * 0.329625242846445%</f>
        <v>9.021898985508998E-5</v>
      </c>
      <c r="D1240" t="s">
        <v>256</v>
      </c>
      <c r="E1240" t="s">
        <v>281</v>
      </c>
      <c r="F1240" t="s">
        <v>364</v>
      </c>
      <c r="G1240" s="4" t="s">
        <v>245</v>
      </c>
    </row>
    <row r="1241" spans="1:7" hidden="1" x14ac:dyDescent="0.2">
      <c r="A1241" t="s">
        <v>28</v>
      </c>
      <c r="B1241" t="s">
        <v>114</v>
      </c>
      <c r="C1241" s="4">
        <f>(0.178561789731549/(0.0328453630665826+0.350336698877979+0.0822572721273277+0.0181224344560457+0.178561789731549)) * 0.329625242846445%</f>
        <v>8.8893489091489554E-4</v>
      </c>
      <c r="D1241" t="s">
        <v>256</v>
      </c>
      <c r="E1241" t="s">
        <v>367</v>
      </c>
      <c r="F1241" t="s">
        <v>364</v>
      </c>
      <c r="G1241" s="4" t="s">
        <v>245</v>
      </c>
    </row>
    <row r="1242" spans="1:7" hidden="1" x14ac:dyDescent="0.2">
      <c r="A1242" t="s">
        <v>28</v>
      </c>
      <c r="B1242" t="s">
        <v>115</v>
      </c>
      <c r="C1242" s="4">
        <f>(0.0328453630665826/(0.0328453630665826+0.350336698877979+0.0822572721273277+0.0181224344560457+0.178561789731549)) * 0.0174296395906363%</f>
        <v>8.6461632928302682E-6</v>
      </c>
      <c r="D1242" t="s">
        <v>242</v>
      </c>
      <c r="E1242" t="s">
        <v>371</v>
      </c>
      <c r="F1242" t="s">
        <v>364</v>
      </c>
      <c r="G1242" s="4" t="s">
        <v>245</v>
      </c>
    </row>
    <row r="1243" spans="1:7" hidden="1" x14ac:dyDescent="0.2">
      <c r="A1243" t="s">
        <v>28</v>
      </c>
      <c r="B1243" t="s">
        <v>115</v>
      </c>
      <c r="C1243" s="4">
        <f>(0.350336698877979/(0.0328453630665826+0.350336698877979+0.0822572721273277+0.0181224344560457+0.178561789731549)) * 0.0174296395906363%</f>
        <v>9.222209843836179E-5</v>
      </c>
      <c r="D1243" t="s">
        <v>256</v>
      </c>
      <c r="E1243" t="s">
        <v>369</v>
      </c>
      <c r="F1243" t="s">
        <v>364</v>
      </c>
      <c r="G1243" s="4" t="s">
        <v>245</v>
      </c>
    </row>
    <row r="1244" spans="1:7" hidden="1" x14ac:dyDescent="0.2">
      <c r="A1244" t="s">
        <v>28</v>
      </c>
      <c r="B1244" t="s">
        <v>115</v>
      </c>
      <c r="C1244" s="4">
        <f>(0.0822572721273277/(0.0328453630665826+0.350336698877979+0.0822572721273277+0.0181224344560457+0.178561789731549)) * 0.0174296395906363%</f>
        <v>2.1653278893398726E-5</v>
      </c>
      <c r="D1244" t="s">
        <v>256</v>
      </c>
      <c r="E1244" t="s">
        <v>366</v>
      </c>
      <c r="F1244" t="s">
        <v>364</v>
      </c>
      <c r="G1244" s="4" t="s">
        <v>245</v>
      </c>
    </row>
    <row r="1245" spans="1:7" hidden="1" x14ac:dyDescent="0.2">
      <c r="A1245" t="s">
        <v>28</v>
      </c>
      <c r="B1245" t="s">
        <v>115</v>
      </c>
      <c r="C1245" s="4">
        <f>(0.0181224344560457/(0.0328453630665826+0.350336698877979+0.0822572721273277+0.0181224344560457+0.178561789731549)) * 0.0174296395906363%</f>
        <v>4.7705220141105165E-6</v>
      </c>
      <c r="D1245" t="s">
        <v>256</v>
      </c>
      <c r="E1245" t="s">
        <v>281</v>
      </c>
      <c r="F1245" t="s">
        <v>364</v>
      </c>
      <c r="G1245" s="4" t="s">
        <v>245</v>
      </c>
    </row>
    <row r="1246" spans="1:7" hidden="1" x14ac:dyDescent="0.2">
      <c r="A1246" t="s">
        <v>28</v>
      </c>
      <c r="B1246" t="s">
        <v>115</v>
      </c>
      <c r="C1246" s="4">
        <f>(0.178561789731549/(0.0328453630665826+0.350336698877979+0.0822572721273277+0.0181224344560457+0.178561789731549)) * 0.0174296395906363%</f>
        <v>4.700433326766171E-5</v>
      </c>
      <c r="D1246" t="s">
        <v>256</v>
      </c>
      <c r="E1246" t="s">
        <v>367</v>
      </c>
      <c r="F1246" t="s">
        <v>364</v>
      </c>
      <c r="G1246" s="4" t="s">
        <v>245</v>
      </c>
    </row>
    <row r="1247" spans="1:7" hidden="1" x14ac:dyDescent="0.2">
      <c r="A1247" t="s">
        <v>28</v>
      </c>
      <c r="B1247" t="s">
        <v>143</v>
      </c>
      <c r="C1247" s="4">
        <f>(0.0328453630665826/(0.0328453630665826+0.350336698877979+0.0822572721273277+0.0181224344560457+0.178561789731549)) * 0.126168878974433%</f>
        <v>6.2587451932875158E-5</v>
      </c>
      <c r="D1247" t="s">
        <v>242</v>
      </c>
      <c r="E1247" t="s">
        <v>371</v>
      </c>
      <c r="F1247" t="s">
        <v>364</v>
      </c>
      <c r="G1247" s="4" t="s">
        <v>245</v>
      </c>
    </row>
    <row r="1248" spans="1:7" hidden="1" x14ac:dyDescent="0.2">
      <c r="A1248" t="s">
        <v>28</v>
      </c>
      <c r="B1248" t="s">
        <v>143</v>
      </c>
      <c r="C1248" s="4">
        <f>(0.350336698877979/(0.0328453630665826+0.350336698877979+0.0822572721273277+0.0181224344560457+0.178561789731549)) * 0.126168878974433%</f>
        <v>6.6757311395520018E-4</v>
      </c>
      <c r="D1248" t="s">
        <v>256</v>
      </c>
      <c r="E1248" t="s">
        <v>369</v>
      </c>
      <c r="F1248" t="s">
        <v>364</v>
      </c>
      <c r="G1248" s="4" t="s">
        <v>245</v>
      </c>
    </row>
    <row r="1249" spans="1:8" hidden="1" x14ac:dyDescent="0.2">
      <c r="A1249" t="s">
        <v>28</v>
      </c>
      <c r="B1249" t="s">
        <v>143</v>
      </c>
      <c r="C1249" s="4">
        <f>(0.0822572721273277/(0.0328453630665826+0.350336698877979+0.0822572721273277+0.0181224344560457+0.178561789731549)) * 0.126168878974433%</f>
        <v>1.5674276624564058E-4</v>
      </c>
      <c r="D1249" t="s">
        <v>256</v>
      </c>
      <c r="E1249" t="s">
        <v>366</v>
      </c>
      <c r="F1249" t="s">
        <v>364</v>
      </c>
      <c r="G1249" s="4" t="s">
        <v>245</v>
      </c>
    </row>
    <row r="1250" spans="1:8" hidden="1" x14ac:dyDescent="0.2">
      <c r="A1250" t="s">
        <v>28</v>
      </c>
      <c r="B1250" t="s">
        <v>143</v>
      </c>
      <c r="C1250" s="4">
        <f>(0.0181224344560457/(0.0328453630665826+0.350336698877979+0.0822572721273277+0.0181224344560457+0.178561789731549)) * 0.126168878974433%</f>
        <v>3.4532636863388239E-5</v>
      </c>
      <c r="D1250" t="s">
        <v>256</v>
      </c>
      <c r="E1250" t="s">
        <v>281</v>
      </c>
      <c r="F1250" t="s">
        <v>364</v>
      </c>
      <c r="G1250" s="4" t="s">
        <v>245</v>
      </c>
    </row>
    <row r="1251" spans="1:8" hidden="1" x14ac:dyDescent="0.2">
      <c r="A1251" t="s">
        <v>28</v>
      </c>
      <c r="B1251" t="s">
        <v>143</v>
      </c>
      <c r="C1251" s="4">
        <f>(0.178561789731549/(0.0328453630665826+0.350336698877979+0.0822572721273277+0.0181224344560457+0.178561789731549)) * 0.126168878974433%</f>
        <v>3.4025282074722591E-4</v>
      </c>
      <c r="D1251" t="s">
        <v>256</v>
      </c>
      <c r="E1251" t="s">
        <v>367</v>
      </c>
      <c r="F1251" t="s">
        <v>364</v>
      </c>
      <c r="G1251" s="4" t="s">
        <v>245</v>
      </c>
    </row>
    <row r="1252" spans="1:8" hidden="1" x14ac:dyDescent="0.2">
      <c r="A1252" t="s">
        <v>28</v>
      </c>
      <c r="B1252" t="s">
        <v>158</v>
      </c>
      <c r="C1252" s="4">
        <f>(0.0328453630665826/(0.0328453630665826+0.350336698877979+0.0822572721273277+0.0181224344560457+0.178561789731549)) * 0.848938037390015%</f>
        <v>4.2112499564891785E-4</v>
      </c>
      <c r="D1252" t="s">
        <v>242</v>
      </c>
      <c r="E1252" t="s">
        <v>371</v>
      </c>
      <c r="F1252" t="s">
        <v>364</v>
      </c>
      <c r="G1252" s="4" t="s">
        <v>245</v>
      </c>
    </row>
    <row r="1253" spans="1:8" hidden="1" x14ac:dyDescent="0.2">
      <c r="A1253" t="s">
        <v>28</v>
      </c>
      <c r="B1253" t="s">
        <v>158</v>
      </c>
      <c r="C1253" s="4">
        <f>(0.350336698877979/(0.0328453630665826+0.350336698877979+0.0822572721273277+0.0181224344560457+0.178561789731549)) * 0.848938037390015%</f>
        <v>4.4918224984016137E-3</v>
      </c>
      <c r="D1253" t="s">
        <v>256</v>
      </c>
      <c r="E1253" t="s">
        <v>369</v>
      </c>
      <c r="F1253" t="s">
        <v>364</v>
      </c>
      <c r="G1253" s="4" t="s">
        <v>245</v>
      </c>
    </row>
    <row r="1254" spans="1:8" hidden="1" x14ac:dyDescent="0.2">
      <c r="A1254" t="s">
        <v>28</v>
      </c>
      <c r="B1254" t="s">
        <v>158</v>
      </c>
      <c r="C1254" s="4">
        <f>(0.0822572721273277/(0.0328453630665826+0.350336698877979+0.0822572721273277+0.0181224344560457+0.178561789731549)) * 0.848938037390015%</f>
        <v>1.0546570393053934E-3</v>
      </c>
      <c r="D1254" t="s">
        <v>256</v>
      </c>
      <c r="E1254" t="s">
        <v>366</v>
      </c>
      <c r="F1254" t="s">
        <v>364</v>
      </c>
      <c r="G1254" s="4" t="s">
        <v>245</v>
      </c>
    </row>
    <row r="1255" spans="1:8" hidden="1" x14ac:dyDescent="0.2">
      <c r="A1255" t="s">
        <v>28</v>
      </c>
      <c r="B1255" t="s">
        <v>158</v>
      </c>
      <c r="C1255" s="4">
        <f>(0.0181224344560457/(0.0328453630665826+0.350336698877979+0.0822572721273277+0.0181224344560457+0.178561789731549)) * 0.848938037390015%</f>
        <v>2.3235578538070021E-4</v>
      </c>
      <c r="D1255" t="s">
        <v>256</v>
      </c>
      <c r="E1255" t="s">
        <v>281</v>
      </c>
      <c r="F1255" t="s">
        <v>364</v>
      </c>
      <c r="G1255" s="4" t="s">
        <v>245</v>
      </c>
    </row>
    <row r="1256" spans="1:8" hidden="1" x14ac:dyDescent="0.2">
      <c r="A1256" t="s">
        <v>28</v>
      </c>
      <c r="B1256" t="s">
        <v>158</v>
      </c>
      <c r="C1256" s="4">
        <f>(0.178561789731549/(0.0328453630665826+0.350336698877979+0.0822572721273277+0.0181224344560457+0.178561789731549)) * 0.848938037390015%</f>
        <v>2.2894200551635251E-3</v>
      </c>
      <c r="D1256" t="s">
        <v>256</v>
      </c>
      <c r="E1256" t="s">
        <v>367</v>
      </c>
      <c r="F1256" t="s">
        <v>364</v>
      </c>
      <c r="G1256" s="4" t="s">
        <v>245</v>
      </c>
    </row>
    <row r="1257" spans="1:8" hidden="1" x14ac:dyDescent="0.2">
      <c r="A1257" t="s">
        <v>29</v>
      </c>
      <c r="B1257" t="s">
        <v>181</v>
      </c>
      <c r="C1257" s="4">
        <v>1.828702309123199E-2</v>
      </c>
      <c r="D1257" t="s">
        <v>254</v>
      </c>
      <c r="E1257" t="s">
        <v>347</v>
      </c>
      <c r="F1257" t="s">
        <v>346</v>
      </c>
      <c r="G1257" t="s">
        <v>354</v>
      </c>
      <c r="H1257" t="s">
        <v>355</v>
      </c>
    </row>
    <row r="1258" spans="1:8" hidden="1" x14ac:dyDescent="0.2">
      <c r="A1258" t="s">
        <v>353</v>
      </c>
      <c r="B1258" t="s">
        <v>181</v>
      </c>
      <c r="C1258" s="4">
        <v>1.828702309123199E-2</v>
      </c>
      <c r="D1258" t="s">
        <v>254</v>
      </c>
      <c r="E1258" t="s">
        <v>352</v>
      </c>
      <c r="F1258" t="s">
        <v>353</v>
      </c>
      <c r="G1258" t="s">
        <v>245</v>
      </c>
    </row>
    <row r="1259" spans="1:8" hidden="1" x14ac:dyDescent="0.2">
      <c r="A1259" t="s">
        <v>349</v>
      </c>
      <c r="B1259" t="s">
        <v>181</v>
      </c>
      <c r="C1259" s="4">
        <v>1.828702309123199E-2</v>
      </c>
      <c r="D1259" t="s">
        <v>254</v>
      </c>
      <c r="E1259" t="s">
        <v>348</v>
      </c>
      <c r="F1259" t="s">
        <v>349</v>
      </c>
      <c r="G1259" t="s">
        <v>245</v>
      </c>
    </row>
    <row r="1260" spans="1:8" hidden="1" x14ac:dyDescent="0.2">
      <c r="A1260" t="s">
        <v>351</v>
      </c>
      <c r="B1260" t="s">
        <v>181</v>
      </c>
      <c r="C1260" s="4">
        <v>1.828702309123199E-2</v>
      </c>
      <c r="D1260" t="s">
        <v>254</v>
      </c>
      <c r="E1260" t="s">
        <v>350</v>
      </c>
      <c r="F1260" t="s">
        <v>351</v>
      </c>
      <c r="G1260" t="s">
        <v>245</v>
      </c>
    </row>
    <row r="1261" spans="1:8" hidden="1" x14ac:dyDescent="0.2">
      <c r="A1261" t="s">
        <v>29</v>
      </c>
      <c r="B1261" t="s">
        <v>85</v>
      </c>
      <c r="C1261" s="4">
        <v>8.3704449717884016E-2</v>
      </c>
      <c r="D1261" t="s">
        <v>254</v>
      </c>
      <c r="E1261" t="s">
        <v>347</v>
      </c>
      <c r="F1261" t="s">
        <v>346</v>
      </c>
      <c r="G1261" t="s">
        <v>245</v>
      </c>
    </row>
    <row r="1262" spans="1:8" hidden="1" x14ac:dyDescent="0.2">
      <c r="A1262" t="s">
        <v>353</v>
      </c>
      <c r="B1262" t="s">
        <v>85</v>
      </c>
      <c r="C1262" s="4">
        <v>8.3704449717884016E-2</v>
      </c>
      <c r="D1262" t="s">
        <v>254</v>
      </c>
      <c r="E1262" t="s">
        <v>352</v>
      </c>
      <c r="F1262" t="s">
        <v>353</v>
      </c>
      <c r="G1262" t="s">
        <v>245</v>
      </c>
    </row>
    <row r="1263" spans="1:8" hidden="1" x14ac:dyDescent="0.2">
      <c r="A1263" t="s">
        <v>349</v>
      </c>
      <c r="B1263" t="s">
        <v>85</v>
      </c>
      <c r="C1263" s="4">
        <v>8.3704449717884016E-2</v>
      </c>
      <c r="D1263" t="s">
        <v>254</v>
      </c>
      <c r="E1263" t="s">
        <v>348</v>
      </c>
      <c r="F1263" t="s">
        <v>349</v>
      </c>
      <c r="G1263" t="s">
        <v>245</v>
      </c>
    </row>
    <row r="1264" spans="1:8" hidden="1" x14ac:dyDescent="0.2">
      <c r="A1264" t="s">
        <v>351</v>
      </c>
      <c r="B1264" t="s">
        <v>85</v>
      </c>
      <c r="C1264" s="4">
        <v>8.3704449717884016E-2</v>
      </c>
      <c r="D1264" t="s">
        <v>254</v>
      </c>
      <c r="E1264" t="s">
        <v>350</v>
      </c>
      <c r="F1264" t="s">
        <v>351</v>
      </c>
      <c r="G1264" t="s">
        <v>245</v>
      </c>
    </row>
    <row r="1265" spans="1:7" hidden="1" x14ac:dyDescent="0.2">
      <c r="A1265" t="s">
        <v>29</v>
      </c>
      <c r="B1265" t="s">
        <v>116</v>
      </c>
      <c r="C1265" s="4">
        <v>9.3384664953835485E-3</v>
      </c>
      <c r="D1265" t="s">
        <v>254</v>
      </c>
      <c r="E1265" t="s">
        <v>347</v>
      </c>
      <c r="F1265" t="s">
        <v>346</v>
      </c>
      <c r="G1265" t="s">
        <v>245</v>
      </c>
    </row>
    <row r="1266" spans="1:7" hidden="1" x14ac:dyDescent="0.2">
      <c r="A1266" t="s">
        <v>353</v>
      </c>
      <c r="B1266" t="s">
        <v>116</v>
      </c>
      <c r="C1266" s="4">
        <v>9.3384664953835485E-3</v>
      </c>
      <c r="D1266" t="s">
        <v>254</v>
      </c>
      <c r="E1266" t="s">
        <v>352</v>
      </c>
      <c r="F1266" t="s">
        <v>353</v>
      </c>
      <c r="G1266" t="s">
        <v>245</v>
      </c>
    </row>
    <row r="1267" spans="1:7" hidden="1" x14ac:dyDescent="0.2">
      <c r="A1267" t="s">
        <v>349</v>
      </c>
      <c r="B1267" t="s">
        <v>116</v>
      </c>
      <c r="C1267" s="4">
        <v>9.3384664953835485E-3</v>
      </c>
      <c r="D1267" t="s">
        <v>254</v>
      </c>
      <c r="E1267" t="s">
        <v>348</v>
      </c>
      <c r="F1267" t="s">
        <v>349</v>
      </c>
      <c r="G1267" t="s">
        <v>245</v>
      </c>
    </row>
    <row r="1268" spans="1:7" hidden="1" x14ac:dyDescent="0.2">
      <c r="A1268" t="s">
        <v>351</v>
      </c>
      <c r="B1268" t="s">
        <v>116</v>
      </c>
      <c r="C1268" s="4">
        <v>9.3384664953835485E-3</v>
      </c>
      <c r="D1268" t="s">
        <v>254</v>
      </c>
      <c r="E1268" t="s">
        <v>350</v>
      </c>
      <c r="F1268" t="s">
        <v>351</v>
      </c>
      <c r="G1268" t="s">
        <v>245</v>
      </c>
    </row>
    <row r="1269" spans="1:7" hidden="1" x14ac:dyDescent="0.2">
      <c r="A1269" t="s">
        <v>29</v>
      </c>
      <c r="B1269" t="s">
        <v>86</v>
      </c>
      <c r="C1269" s="4">
        <v>0.63977923351248933</v>
      </c>
      <c r="D1269" t="s">
        <v>254</v>
      </c>
      <c r="E1269" t="s">
        <v>347</v>
      </c>
      <c r="F1269" t="s">
        <v>346</v>
      </c>
      <c r="G1269" t="s">
        <v>245</v>
      </c>
    </row>
    <row r="1270" spans="1:7" hidden="1" x14ac:dyDescent="0.2">
      <c r="A1270" t="s">
        <v>353</v>
      </c>
      <c r="B1270" t="s">
        <v>86</v>
      </c>
      <c r="C1270" s="4">
        <v>0.63977923351248933</v>
      </c>
      <c r="D1270" t="s">
        <v>254</v>
      </c>
      <c r="E1270" t="s">
        <v>352</v>
      </c>
      <c r="F1270" t="s">
        <v>353</v>
      </c>
      <c r="G1270" t="s">
        <v>245</v>
      </c>
    </row>
    <row r="1271" spans="1:7" hidden="1" x14ac:dyDescent="0.2">
      <c r="A1271" t="s">
        <v>349</v>
      </c>
      <c r="B1271" t="s">
        <v>86</v>
      </c>
      <c r="C1271" s="4">
        <v>0.63977923351248933</v>
      </c>
      <c r="D1271" t="s">
        <v>254</v>
      </c>
      <c r="E1271" t="s">
        <v>348</v>
      </c>
      <c r="F1271" t="s">
        <v>349</v>
      </c>
      <c r="G1271" t="s">
        <v>245</v>
      </c>
    </row>
    <row r="1272" spans="1:7" hidden="1" x14ac:dyDescent="0.2">
      <c r="A1272" t="s">
        <v>351</v>
      </c>
      <c r="B1272" t="s">
        <v>86</v>
      </c>
      <c r="C1272" s="4">
        <v>0.63977923351248933</v>
      </c>
      <c r="D1272" t="s">
        <v>254</v>
      </c>
      <c r="E1272" t="s">
        <v>350</v>
      </c>
      <c r="F1272" t="s">
        <v>351</v>
      </c>
      <c r="G1272" t="s">
        <v>245</v>
      </c>
    </row>
    <row r="1273" spans="1:7" hidden="1" x14ac:dyDescent="0.2">
      <c r="A1273" t="s">
        <v>29</v>
      </c>
      <c r="B1273" t="s">
        <v>117</v>
      </c>
      <c r="C1273" s="4">
        <v>2.0259675727895491E-4</v>
      </c>
      <c r="D1273" t="s">
        <v>254</v>
      </c>
      <c r="E1273" t="s">
        <v>347</v>
      </c>
      <c r="F1273" t="s">
        <v>346</v>
      </c>
      <c r="G1273" t="s">
        <v>245</v>
      </c>
    </row>
    <row r="1274" spans="1:7" hidden="1" x14ac:dyDescent="0.2">
      <c r="A1274" t="s">
        <v>353</v>
      </c>
      <c r="B1274" t="s">
        <v>117</v>
      </c>
      <c r="C1274" s="4">
        <v>2.0259675727895491E-4</v>
      </c>
      <c r="D1274" t="s">
        <v>254</v>
      </c>
      <c r="E1274" t="s">
        <v>352</v>
      </c>
      <c r="F1274" t="s">
        <v>353</v>
      </c>
      <c r="G1274" t="s">
        <v>245</v>
      </c>
    </row>
    <row r="1275" spans="1:7" hidden="1" x14ac:dyDescent="0.2">
      <c r="A1275" t="s">
        <v>349</v>
      </c>
      <c r="B1275" t="s">
        <v>117</v>
      </c>
      <c r="C1275" s="4">
        <v>2.0259675727895491E-4</v>
      </c>
      <c r="D1275" t="s">
        <v>254</v>
      </c>
      <c r="E1275" t="s">
        <v>348</v>
      </c>
      <c r="F1275" t="s">
        <v>349</v>
      </c>
      <c r="G1275" t="s">
        <v>245</v>
      </c>
    </row>
    <row r="1276" spans="1:7" hidden="1" x14ac:dyDescent="0.2">
      <c r="A1276" t="s">
        <v>351</v>
      </c>
      <c r="B1276" t="s">
        <v>117</v>
      </c>
      <c r="C1276" s="4">
        <v>2.0259675727895491E-4</v>
      </c>
      <c r="D1276" t="s">
        <v>254</v>
      </c>
      <c r="E1276" t="s">
        <v>350</v>
      </c>
      <c r="F1276" t="s">
        <v>351</v>
      </c>
      <c r="G1276" t="s">
        <v>245</v>
      </c>
    </row>
    <row r="1277" spans="1:7" hidden="1" x14ac:dyDescent="0.2">
      <c r="A1277" t="s">
        <v>29</v>
      </c>
      <c r="B1277" t="s">
        <v>97</v>
      </c>
      <c r="C1277" s="4">
        <v>2.8921220250932082E-2</v>
      </c>
      <c r="D1277" t="s">
        <v>254</v>
      </c>
      <c r="E1277" t="s">
        <v>347</v>
      </c>
      <c r="F1277" t="s">
        <v>346</v>
      </c>
      <c r="G1277" t="s">
        <v>245</v>
      </c>
    </row>
    <row r="1278" spans="1:7" hidden="1" x14ac:dyDescent="0.2">
      <c r="A1278" t="s">
        <v>353</v>
      </c>
      <c r="B1278" t="s">
        <v>97</v>
      </c>
      <c r="C1278" s="4">
        <v>2.8921220250932082E-2</v>
      </c>
      <c r="D1278" t="s">
        <v>254</v>
      </c>
      <c r="E1278" t="s">
        <v>352</v>
      </c>
      <c r="F1278" t="s">
        <v>353</v>
      </c>
      <c r="G1278" t="s">
        <v>245</v>
      </c>
    </row>
    <row r="1279" spans="1:7" hidden="1" x14ac:dyDescent="0.2">
      <c r="A1279" t="s">
        <v>349</v>
      </c>
      <c r="B1279" t="s">
        <v>97</v>
      </c>
      <c r="C1279" s="4">
        <v>2.8921220250932082E-2</v>
      </c>
      <c r="D1279" t="s">
        <v>254</v>
      </c>
      <c r="E1279" t="s">
        <v>348</v>
      </c>
      <c r="F1279" t="s">
        <v>349</v>
      </c>
      <c r="G1279" t="s">
        <v>245</v>
      </c>
    </row>
    <row r="1280" spans="1:7" hidden="1" x14ac:dyDescent="0.2">
      <c r="A1280" t="s">
        <v>351</v>
      </c>
      <c r="B1280" t="s">
        <v>97</v>
      </c>
      <c r="C1280" s="4">
        <v>2.8921220250932082E-2</v>
      </c>
      <c r="D1280" t="s">
        <v>254</v>
      </c>
      <c r="E1280" t="s">
        <v>350</v>
      </c>
      <c r="F1280" t="s">
        <v>351</v>
      </c>
      <c r="G1280" t="s">
        <v>245</v>
      </c>
    </row>
    <row r="1281" spans="1:7" hidden="1" x14ac:dyDescent="0.2">
      <c r="A1281" t="s">
        <v>29</v>
      </c>
      <c r="B1281" t="s">
        <v>149</v>
      </c>
      <c r="C1281" s="4">
        <v>5.153777158850608E-2</v>
      </c>
      <c r="D1281" t="s">
        <v>254</v>
      </c>
      <c r="E1281" t="s">
        <v>347</v>
      </c>
      <c r="F1281" t="s">
        <v>346</v>
      </c>
      <c r="G1281" t="s">
        <v>245</v>
      </c>
    </row>
    <row r="1282" spans="1:7" hidden="1" x14ac:dyDescent="0.2">
      <c r="A1282" t="s">
        <v>353</v>
      </c>
      <c r="B1282" t="s">
        <v>149</v>
      </c>
      <c r="C1282" s="4">
        <v>5.153777158850608E-2</v>
      </c>
      <c r="D1282" t="s">
        <v>254</v>
      </c>
      <c r="E1282" t="s">
        <v>352</v>
      </c>
      <c r="F1282" t="s">
        <v>353</v>
      </c>
      <c r="G1282" t="s">
        <v>245</v>
      </c>
    </row>
    <row r="1283" spans="1:7" hidden="1" x14ac:dyDescent="0.2">
      <c r="A1283" t="s">
        <v>349</v>
      </c>
      <c r="B1283" t="s">
        <v>149</v>
      </c>
      <c r="C1283" s="4">
        <v>5.153777158850608E-2</v>
      </c>
      <c r="D1283" t="s">
        <v>254</v>
      </c>
      <c r="E1283" t="s">
        <v>348</v>
      </c>
      <c r="F1283" t="s">
        <v>349</v>
      </c>
      <c r="G1283" t="s">
        <v>245</v>
      </c>
    </row>
    <row r="1284" spans="1:7" hidden="1" x14ac:dyDescent="0.2">
      <c r="A1284" t="s">
        <v>351</v>
      </c>
      <c r="B1284" t="s">
        <v>149</v>
      </c>
      <c r="C1284" s="4">
        <v>5.153777158850608E-2</v>
      </c>
      <c r="D1284" t="s">
        <v>254</v>
      </c>
      <c r="E1284" t="s">
        <v>350</v>
      </c>
      <c r="F1284" t="s">
        <v>351</v>
      </c>
      <c r="G1284" t="s">
        <v>245</v>
      </c>
    </row>
    <row r="1285" spans="1:7" hidden="1" x14ac:dyDescent="0.2">
      <c r="A1285" t="s">
        <v>29</v>
      </c>
      <c r="B1285" t="s">
        <v>141</v>
      </c>
      <c r="C1285" s="4">
        <v>4.8329989598255962E-2</v>
      </c>
      <c r="D1285" t="s">
        <v>254</v>
      </c>
      <c r="E1285" t="s">
        <v>347</v>
      </c>
      <c r="F1285" t="s">
        <v>346</v>
      </c>
      <c r="G1285" t="s">
        <v>245</v>
      </c>
    </row>
    <row r="1286" spans="1:7" hidden="1" x14ac:dyDescent="0.2">
      <c r="A1286" t="s">
        <v>353</v>
      </c>
      <c r="B1286" t="s">
        <v>141</v>
      </c>
      <c r="C1286" s="4">
        <v>4.8329989598255962E-2</v>
      </c>
      <c r="D1286" t="s">
        <v>254</v>
      </c>
      <c r="E1286" t="s">
        <v>352</v>
      </c>
      <c r="F1286" t="s">
        <v>353</v>
      </c>
      <c r="G1286" t="s">
        <v>245</v>
      </c>
    </row>
    <row r="1287" spans="1:7" hidden="1" x14ac:dyDescent="0.2">
      <c r="A1287" t="s">
        <v>349</v>
      </c>
      <c r="B1287" t="s">
        <v>141</v>
      </c>
      <c r="C1287" s="4">
        <v>4.8329989598255962E-2</v>
      </c>
      <c r="D1287" t="s">
        <v>254</v>
      </c>
      <c r="E1287" t="s">
        <v>348</v>
      </c>
      <c r="F1287" t="s">
        <v>349</v>
      </c>
      <c r="G1287" t="s">
        <v>245</v>
      </c>
    </row>
    <row r="1288" spans="1:7" hidden="1" x14ac:dyDescent="0.2">
      <c r="A1288" t="s">
        <v>351</v>
      </c>
      <c r="B1288" t="s">
        <v>141</v>
      </c>
      <c r="C1288" s="4">
        <v>4.8329989598255962E-2</v>
      </c>
      <c r="D1288" t="s">
        <v>254</v>
      </c>
      <c r="E1288" t="s">
        <v>350</v>
      </c>
      <c r="F1288" t="s">
        <v>351</v>
      </c>
      <c r="G1288" t="s">
        <v>245</v>
      </c>
    </row>
    <row r="1289" spans="1:7" hidden="1" x14ac:dyDescent="0.2">
      <c r="A1289" t="s">
        <v>29</v>
      </c>
      <c r="B1289" t="s">
        <v>150</v>
      </c>
      <c r="C1289" s="4">
        <v>3.6597149321451919E-3</v>
      </c>
      <c r="D1289" t="s">
        <v>254</v>
      </c>
      <c r="E1289" t="s">
        <v>347</v>
      </c>
      <c r="F1289" t="s">
        <v>346</v>
      </c>
      <c r="G1289" t="s">
        <v>245</v>
      </c>
    </row>
    <row r="1290" spans="1:7" hidden="1" x14ac:dyDescent="0.2">
      <c r="A1290" t="s">
        <v>353</v>
      </c>
      <c r="B1290" t="s">
        <v>150</v>
      </c>
      <c r="C1290" s="4">
        <v>3.6597149321451919E-3</v>
      </c>
      <c r="D1290" t="s">
        <v>254</v>
      </c>
      <c r="E1290" t="s">
        <v>352</v>
      </c>
      <c r="F1290" t="s">
        <v>353</v>
      </c>
      <c r="G1290" t="s">
        <v>245</v>
      </c>
    </row>
    <row r="1291" spans="1:7" hidden="1" x14ac:dyDescent="0.2">
      <c r="A1291" t="s">
        <v>349</v>
      </c>
      <c r="B1291" t="s">
        <v>150</v>
      </c>
      <c r="C1291" s="4">
        <v>3.6597149321451919E-3</v>
      </c>
      <c r="D1291" t="s">
        <v>254</v>
      </c>
      <c r="E1291" t="s">
        <v>348</v>
      </c>
      <c r="F1291" t="s">
        <v>349</v>
      </c>
      <c r="G1291" t="s">
        <v>245</v>
      </c>
    </row>
    <row r="1292" spans="1:7" hidden="1" x14ac:dyDescent="0.2">
      <c r="A1292" t="s">
        <v>351</v>
      </c>
      <c r="B1292" t="s">
        <v>150</v>
      </c>
      <c r="C1292" s="4">
        <v>3.6597149321451919E-3</v>
      </c>
      <c r="D1292" t="s">
        <v>254</v>
      </c>
      <c r="E1292" t="s">
        <v>350</v>
      </c>
      <c r="F1292" t="s">
        <v>351</v>
      </c>
      <c r="G1292" t="s">
        <v>245</v>
      </c>
    </row>
    <row r="1293" spans="1:7" hidden="1" x14ac:dyDescent="0.2">
      <c r="A1293" t="s">
        <v>29</v>
      </c>
      <c r="B1293" t="s">
        <v>105</v>
      </c>
      <c r="C1293" s="4">
        <v>5.6274448230397303E-2</v>
      </c>
      <c r="D1293" t="s">
        <v>254</v>
      </c>
      <c r="E1293" t="s">
        <v>347</v>
      </c>
      <c r="F1293" t="s">
        <v>346</v>
      </c>
      <c r="G1293" t="s">
        <v>245</v>
      </c>
    </row>
    <row r="1294" spans="1:7" hidden="1" x14ac:dyDescent="0.2">
      <c r="A1294" t="s">
        <v>353</v>
      </c>
      <c r="B1294" t="s">
        <v>105</v>
      </c>
      <c r="C1294" s="4">
        <v>5.6274448230397303E-2</v>
      </c>
      <c r="D1294" t="s">
        <v>254</v>
      </c>
      <c r="E1294" t="s">
        <v>352</v>
      </c>
      <c r="F1294" t="s">
        <v>353</v>
      </c>
      <c r="G1294" t="s">
        <v>245</v>
      </c>
    </row>
    <row r="1295" spans="1:7" hidden="1" x14ac:dyDescent="0.2">
      <c r="A1295" t="s">
        <v>349</v>
      </c>
      <c r="B1295" t="s">
        <v>105</v>
      </c>
      <c r="C1295" s="4">
        <v>5.6274448230397303E-2</v>
      </c>
      <c r="D1295" t="s">
        <v>254</v>
      </c>
      <c r="E1295" t="s">
        <v>348</v>
      </c>
      <c r="F1295" t="s">
        <v>349</v>
      </c>
      <c r="G1295" t="s">
        <v>245</v>
      </c>
    </row>
    <row r="1296" spans="1:7" hidden="1" x14ac:dyDescent="0.2">
      <c r="A1296" t="s">
        <v>351</v>
      </c>
      <c r="B1296" t="s">
        <v>105</v>
      </c>
      <c r="C1296" s="4">
        <v>5.6274448230397303E-2</v>
      </c>
      <c r="D1296" t="s">
        <v>254</v>
      </c>
      <c r="E1296" t="s">
        <v>350</v>
      </c>
      <c r="F1296" t="s">
        <v>351</v>
      </c>
      <c r="G1296" t="s">
        <v>245</v>
      </c>
    </row>
    <row r="1297" spans="1:7" hidden="1" x14ac:dyDescent="0.2">
      <c r="A1297" t="s">
        <v>29</v>
      </c>
      <c r="B1297" t="s">
        <v>175</v>
      </c>
      <c r="C1297" s="4">
        <v>1.0080077256896781E-3</v>
      </c>
      <c r="D1297" t="s">
        <v>254</v>
      </c>
      <c r="E1297" t="s">
        <v>347</v>
      </c>
      <c r="F1297" t="s">
        <v>346</v>
      </c>
      <c r="G1297" t="s">
        <v>245</v>
      </c>
    </row>
    <row r="1298" spans="1:7" hidden="1" x14ac:dyDescent="0.2">
      <c r="A1298" t="s">
        <v>353</v>
      </c>
      <c r="B1298" t="s">
        <v>175</v>
      </c>
      <c r="C1298" s="4">
        <v>1.0080077256896781E-3</v>
      </c>
      <c r="D1298" t="s">
        <v>254</v>
      </c>
      <c r="E1298" t="s">
        <v>352</v>
      </c>
      <c r="F1298" t="s">
        <v>353</v>
      </c>
      <c r="G1298" t="s">
        <v>245</v>
      </c>
    </row>
    <row r="1299" spans="1:7" hidden="1" x14ac:dyDescent="0.2">
      <c r="A1299" t="s">
        <v>349</v>
      </c>
      <c r="B1299" t="s">
        <v>175</v>
      </c>
      <c r="C1299" s="4">
        <v>1.0080077256896781E-3</v>
      </c>
      <c r="D1299" t="s">
        <v>254</v>
      </c>
      <c r="E1299" t="s">
        <v>348</v>
      </c>
      <c r="F1299" t="s">
        <v>349</v>
      </c>
      <c r="G1299" t="s">
        <v>245</v>
      </c>
    </row>
    <row r="1300" spans="1:7" hidden="1" x14ac:dyDescent="0.2">
      <c r="A1300" t="s">
        <v>351</v>
      </c>
      <c r="B1300" t="s">
        <v>175</v>
      </c>
      <c r="C1300" s="4">
        <v>1.0080077256896781E-3</v>
      </c>
      <c r="D1300" t="s">
        <v>254</v>
      </c>
      <c r="E1300" t="s">
        <v>350</v>
      </c>
      <c r="F1300" t="s">
        <v>351</v>
      </c>
      <c r="G1300" t="s">
        <v>245</v>
      </c>
    </row>
    <row r="1301" spans="1:7" hidden="1" x14ac:dyDescent="0.2">
      <c r="A1301" t="s">
        <v>29</v>
      </c>
      <c r="B1301" t="s">
        <v>132</v>
      </c>
      <c r="C1301" s="4">
        <v>8.3171300356623609E-3</v>
      </c>
      <c r="D1301" t="s">
        <v>254</v>
      </c>
      <c r="E1301" t="s">
        <v>347</v>
      </c>
      <c r="F1301" t="s">
        <v>346</v>
      </c>
      <c r="G1301" t="s">
        <v>245</v>
      </c>
    </row>
    <row r="1302" spans="1:7" hidden="1" x14ac:dyDescent="0.2">
      <c r="A1302" t="s">
        <v>353</v>
      </c>
      <c r="B1302" t="s">
        <v>132</v>
      </c>
      <c r="C1302" s="4">
        <v>8.3171300356623609E-3</v>
      </c>
      <c r="D1302" t="s">
        <v>254</v>
      </c>
      <c r="E1302" t="s">
        <v>352</v>
      </c>
      <c r="F1302" t="s">
        <v>353</v>
      </c>
      <c r="G1302" t="s">
        <v>245</v>
      </c>
    </row>
    <row r="1303" spans="1:7" hidden="1" x14ac:dyDescent="0.2">
      <c r="A1303" t="s">
        <v>349</v>
      </c>
      <c r="B1303" t="s">
        <v>132</v>
      </c>
      <c r="C1303" s="4">
        <v>8.3171300356623609E-3</v>
      </c>
      <c r="D1303" t="s">
        <v>254</v>
      </c>
      <c r="E1303" t="s">
        <v>348</v>
      </c>
      <c r="F1303" t="s">
        <v>349</v>
      </c>
      <c r="G1303" t="s">
        <v>245</v>
      </c>
    </row>
    <row r="1304" spans="1:7" hidden="1" x14ac:dyDescent="0.2">
      <c r="A1304" t="s">
        <v>351</v>
      </c>
      <c r="B1304" t="s">
        <v>132</v>
      </c>
      <c r="C1304" s="4">
        <v>8.3171300356623609E-3</v>
      </c>
      <c r="D1304" t="s">
        <v>254</v>
      </c>
      <c r="E1304" t="s">
        <v>350</v>
      </c>
      <c r="F1304" t="s">
        <v>351</v>
      </c>
      <c r="G1304" t="s">
        <v>245</v>
      </c>
    </row>
    <row r="1305" spans="1:7" hidden="1" x14ac:dyDescent="0.2">
      <c r="A1305" t="s">
        <v>29</v>
      </c>
      <c r="B1305" t="s">
        <v>106</v>
      </c>
      <c r="C1305" s="4">
        <v>3.2699827490638341E-4</v>
      </c>
      <c r="D1305" t="s">
        <v>254</v>
      </c>
      <c r="E1305" t="s">
        <v>347</v>
      </c>
      <c r="F1305" t="s">
        <v>346</v>
      </c>
      <c r="G1305" t="s">
        <v>245</v>
      </c>
    </row>
    <row r="1306" spans="1:7" hidden="1" x14ac:dyDescent="0.2">
      <c r="A1306" t="s">
        <v>353</v>
      </c>
      <c r="B1306" t="s">
        <v>106</v>
      </c>
      <c r="C1306" s="4">
        <v>3.2699827490638341E-4</v>
      </c>
      <c r="D1306" t="s">
        <v>254</v>
      </c>
      <c r="E1306" t="s">
        <v>352</v>
      </c>
      <c r="F1306" t="s">
        <v>353</v>
      </c>
      <c r="G1306" t="s">
        <v>245</v>
      </c>
    </row>
    <row r="1307" spans="1:7" hidden="1" x14ac:dyDescent="0.2">
      <c r="A1307" t="s">
        <v>349</v>
      </c>
      <c r="B1307" t="s">
        <v>106</v>
      </c>
      <c r="C1307" s="4">
        <v>3.2699827490638341E-4</v>
      </c>
      <c r="D1307" t="s">
        <v>254</v>
      </c>
      <c r="E1307" t="s">
        <v>348</v>
      </c>
      <c r="F1307" t="s">
        <v>349</v>
      </c>
      <c r="G1307" t="s">
        <v>245</v>
      </c>
    </row>
    <row r="1308" spans="1:7" hidden="1" x14ac:dyDescent="0.2">
      <c r="A1308" t="s">
        <v>351</v>
      </c>
      <c r="B1308" t="s">
        <v>106</v>
      </c>
      <c r="C1308" s="4">
        <v>3.2699827490638341E-4</v>
      </c>
      <c r="D1308" t="s">
        <v>254</v>
      </c>
      <c r="E1308" t="s">
        <v>350</v>
      </c>
      <c r="F1308" t="s">
        <v>351</v>
      </c>
      <c r="G1308" t="s">
        <v>245</v>
      </c>
    </row>
    <row r="1309" spans="1:7" hidden="1" x14ac:dyDescent="0.2">
      <c r="A1309" t="s">
        <v>29</v>
      </c>
      <c r="B1309" t="s">
        <v>107</v>
      </c>
      <c r="C1309" s="4">
        <v>2.0081959274142022E-2</v>
      </c>
      <c r="D1309" t="s">
        <v>254</v>
      </c>
      <c r="E1309" t="s">
        <v>347</v>
      </c>
      <c r="F1309" t="s">
        <v>346</v>
      </c>
      <c r="G1309" t="s">
        <v>245</v>
      </c>
    </row>
    <row r="1310" spans="1:7" hidden="1" x14ac:dyDescent="0.2">
      <c r="A1310" t="s">
        <v>353</v>
      </c>
      <c r="B1310" t="s">
        <v>107</v>
      </c>
      <c r="C1310" s="4">
        <v>2.0081959274142022E-2</v>
      </c>
      <c r="D1310" t="s">
        <v>254</v>
      </c>
      <c r="E1310" t="s">
        <v>352</v>
      </c>
      <c r="F1310" t="s">
        <v>353</v>
      </c>
      <c r="G1310" t="s">
        <v>245</v>
      </c>
    </row>
    <row r="1311" spans="1:7" hidden="1" x14ac:dyDescent="0.2">
      <c r="A1311" t="s">
        <v>349</v>
      </c>
      <c r="B1311" t="s">
        <v>107</v>
      </c>
      <c r="C1311" s="4">
        <v>2.0081959274142022E-2</v>
      </c>
      <c r="D1311" t="s">
        <v>254</v>
      </c>
      <c r="E1311" t="s">
        <v>348</v>
      </c>
      <c r="F1311" t="s">
        <v>349</v>
      </c>
      <c r="G1311" t="s">
        <v>245</v>
      </c>
    </row>
    <row r="1312" spans="1:7" hidden="1" x14ac:dyDescent="0.2">
      <c r="A1312" t="s">
        <v>351</v>
      </c>
      <c r="B1312" t="s">
        <v>107</v>
      </c>
      <c r="C1312" s="4">
        <v>2.0081959274142022E-2</v>
      </c>
      <c r="D1312" t="s">
        <v>254</v>
      </c>
      <c r="E1312" t="s">
        <v>350</v>
      </c>
      <c r="F1312" t="s">
        <v>351</v>
      </c>
      <c r="G1312" t="s">
        <v>245</v>
      </c>
    </row>
    <row r="1313" spans="1:7" hidden="1" x14ac:dyDescent="0.2">
      <c r="A1313" t="s">
        <v>29</v>
      </c>
      <c r="B1313" t="s">
        <v>211</v>
      </c>
      <c r="C1313" s="4">
        <v>3.4777332835016399E-3</v>
      </c>
      <c r="D1313" t="s">
        <v>254</v>
      </c>
      <c r="E1313" t="s">
        <v>347</v>
      </c>
      <c r="F1313" t="s">
        <v>346</v>
      </c>
      <c r="G1313" t="s">
        <v>245</v>
      </c>
    </row>
    <row r="1314" spans="1:7" hidden="1" x14ac:dyDescent="0.2">
      <c r="A1314" t="s">
        <v>353</v>
      </c>
      <c r="B1314" t="s">
        <v>211</v>
      </c>
      <c r="C1314" s="4">
        <v>3.4777332835016399E-3</v>
      </c>
      <c r="D1314" t="s">
        <v>254</v>
      </c>
      <c r="E1314" t="s">
        <v>352</v>
      </c>
      <c r="F1314" t="s">
        <v>353</v>
      </c>
      <c r="G1314" t="s">
        <v>245</v>
      </c>
    </row>
    <row r="1315" spans="1:7" hidden="1" x14ac:dyDescent="0.2">
      <c r="A1315" t="s">
        <v>349</v>
      </c>
      <c r="B1315" t="s">
        <v>211</v>
      </c>
      <c r="C1315" s="4">
        <v>3.4777332835016399E-3</v>
      </c>
      <c r="D1315" t="s">
        <v>254</v>
      </c>
      <c r="E1315" t="s">
        <v>348</v>
      </c>
      <c r="F1315" t="s">
        <v>349</v>
      </c>
      <c r="G1315" t="s">
        <v>245</v>
      </c>
    </row>
    <row r="1316" spans="1:7" hidden="1" x14ac:dyDescent="0.2">
      <c r="A1316" t="s">
        <v>351</v>
      </c>
      <c r="B1316" t="s">
        <v>211</v>
      </c>
      <c r="C1316" s="4">
        <v>3.4777332835016399E-3</v>
      </c>
      <c r="D1316" t="s">
        <v>254</v>
      </c>
      <c r="E1316" t="s">
        <v>350</v>
      </c>
      <c r="F1316" t="s">
        <v>351</v>
      </c>
      <c r="G1316" t="s">
        <v>245</v>
      </c>
    </row>
    <row r="1317" spans="1:7" hidden="1" x14ac:dyDescent="0.2">
      <c r="A1317" t="s">
        <v>29</v>
      </c>
      <c r="B1317" t="s">
        <v>112</v>
      </c>
      <c r="C1317" s="4">
        <v>1.2490445519155079E-2</v>
      </c>
      <c r="D1317" t="s">
        <v>254</v>
      </c>
      <c r="E1317" t="s">
        <v>347</v>
      </c>
      <c r="F1317" t="s">
        <v>346</v>
      </c>
      <c r="G1317" t="s">
        <v>245</v>
      </c>
    </row>
    <row r="1318" spans="1:7" hidden="1" x14ac:dyDescent="0.2">
      <c r="A1318" t="s">
        <v>353</v>
      </c>
      <c r="B1318" t="s">
        <v>112</v>
      </c>
      <c r="C1318" s="4">
        <v>1.2490445519155079E-2</v>
      </c>
      <c r="D1318" t="s">
        <v>254</v>
      </c>
      <c r="E1318" t="s">
        <v>352</v>
      </c>
      <c r="F1318" t="s">
        <v>353</v>
      </c>
      <c r="G1318" t="s">
        <v>245</v>
      </c>
    </row>
    <row r="1319" spans="1:7" hidden="1" x14ac:dyDescent="0.2">
      <c r="A1319" t="s">
        <v>349</v>
      </c>
      <c r="B1319" t="s">
        <v>112</v>
      </c>
      <c r="C1319" s="4">
        <v>1.2490445519155079E-2</v>
      </c>
      <c r="D1319" t="s">
        <v>254</v>
      </c>
      <c r="E1319" t="s">
        <v>348</v>
      </c>
      <c r="F1319" t="s">
        <v>349</v>
      </c>
      <c r="G1319" t="s">
        <v>245</v>
      </c>
    </row>
    <row r="1320" spans="1:7" hidden="1" x14ac:dyDescent="0.2">
      <c r="A1320" t="s">
        <v>351</v>
      </c>
      <c r="B1320" t="s">
        <v>112</v>
      </c>
      <c r="C1320" s="4">
        <v>1.2490445519155079E-2</v>
      </c>
      <c r="D1320" t="s">
        <v>254</v>
      </c>
      <c r="E1320" t="s">
        <v>350</v>
      </c>
      <c r="F1320" t="s">
        <v>351</v>
      </c>
      <c r="G1320" t="s">
        <v>245</v>
      </c>
    </row>
    <row r="1321" spans="1:7" hidden="1" x14ac:dyDescent="0.2">
      <c r="A1321" t="s">
        <v>29</v>
      </c>
      <c r="B1321" t="s">
        <v>122</v>
      </c>
      <c r="C1321" s="4">
        <v>1.383611450697635E-2</v>
      </c>
      <c r="D1321" t="s">
        <v>254</v>
      </c>
      <c r="E1321" t="s">
        <v>347</v>
      </c>
      <c r="F1321" t="s">
        <v>346</v>
      </c>
      <c r="G1321" t="s">
        <v>245</v>
      </c>
    </row>
    <row r="1322" spans="1:7" hidden="1" x14ac:dyDescent="0.2">
      <c r="A1322" t="s">
        <v>353</v>
      </c>
      <c r="B1322" t="s">
        <v>122</v>
      </c>
      <c r="C1322" s="4">
        <v>1.383611450697635E-2</v>
      </c>
      <c r="D1322" t="s">
        <v>254</v>
      </c>
      <c r="E1322" t="s">
        <v>352</v>
      </c>
      <c r="F1322" t="s">
        <v>353</v>
      </c>
      <c r="G1322" t="s">
        <v>245</v>
      </c>
    </row>
    <row r="1323" spans="1:7" hidden="1" x14ac:dyDescent="0.2">
      <c r="A1323" t="s">
        <v>349</v>
      </c>
      <c r="B1323" t="s">
        <v>122</v>
      </c>
      <c r="C1323" s="4">
        <v>1.383611450697635E-2</v>
      </c>
      <c r="D1323" t="s">
        <v>254</v>
      </c>
      <c r="E1323" t="s">
        <v>348</v>
      </c>
      <c r="F1323" t="s">
        <v>349</v>
      </c>
      <c r="G1323" t="s">
        <v>245</v>
      </c>
    </row>
    <row r="1324" spans="1:7" hidden="1" x14ac:dyDescent="0.2">
      <c r="A1324" t="s">
        <v>351</v>
      </c>
      <c r="B1324" t="s">
        <v>122</v>
      </c>
      <c r="C1324" s="4">
        <v>1.383611450697635E-2</v>
      </c>
      <c r="D1324" t="s">
        <v>254</v>
      </c>
      <c r="E1324" t="s">
        <v>350</v>
      </c>
      <c r="F1324" t="s">
        <v>351</v>
      </c>
      <c r="G1324" t="s">
        <v>245</v>
      </c>
    </row>
    <row r="1325" spans="1:7" hidden="1" x14ac:dyDescent="0.2">
      <c r="A1325" t="s">
        <v>29</v>
      </c>
      <c r="B1325" t="s">
        <v>158</v>
      </c>
      <c r="C1325" s="4">
        <v>4.2669720546207972E-4</v>
      </c>
      <c r="D1325" t="s">
        <v>254</v>
      </c>
      <c r="E1325" t="s">
        <v>347</v>
      </c>
      <c r="F1325" t="s">
        <v>346</v>
      </c>
      <c r="G1325" t="s">
        <v>245</v>
      </c>
    </row>
    <row r="1326" spans="1:7" hidden="1" x14ac:dyDescent="0.2">
      <c r="A1326" t="s">
        <v>353</v>
      </c>
      <c r="B1326" t="s">
        <v>158</v>
      </c>
      <c r="C1326" s="4">
        <v>4.2669720546207972E-4</v>
      </c>
      <c r="D1326" t="s">
        <v>254</v>
      </c>
      <c r="E1326" t="s">
        <v>352</v>
      </c>
      <c r="F1326" t="s">
        <v>353</v>
      </c>
      <c r="G1326" t="s">
        <v>245</v>
      </c>
    </row>
    <row r="1327" spans="1:7" hidden="1" x14ac:dyDescent="0.2">
      <c r="A1327" t="s">
        <v>349</v>
      </c>
      <c r="B1327" t="s">
        <v>158</v>
      </c>
      <c r="C1327" s="4">
        <v>4.2669720546207972E-4</v>
      </c>
      <c r="D1327" t="s">
        <v>254</v>
      </c>
      <c r="E1327" t="s">
        <v>348</v>
      </c>
      <c r="F1327" t="s">
        <v>349</v>
      </c>
      <c r="G1327" t="s">
        <v>245</v>
      </c>
    </row>
    <row r="1328" spans="1:7" hidden="1" x14ac:dyDescent="0.2">
      <c r="A1328" t="s">
        <v>351</v>
      </c>
      <c r="B1328" t="s">
        <v>158</v>
      </c>
      <c r="C1328" s="4">
        <v>4.2669720546207972E-4</v>
      </c>
      <c r="D1328" t="s">
        <v>254</v>
      </c>
      <c r="E1328" t="s">
        <v>350</v>
      </c>
      <c r="F1328" t="s">
        <v>351</v>
      </c>
      <c r="G1328" t="s">
        <v>245</v>
      </c>
    </row>
    <row r="1329" spans="1:8" hidden="1" x14ac:dyDescent="0.2">
      <c r="A1329" t="s">
        <v>609</v>
      </c>
      <c r="B1329" t="s">
        <v>163</v>
      </c>
      <c r="C1329" s="4">
        <v>2.5086079685194301E-2</v>
      </c>
      <c r="D1329" t="s">
        <v>335</v>
      </c>
      <c r="E1329" t="s">
        <v>374</v>
      </c>
      <c r="F1329" t="s">
        <v>375</v>
      </c>
      <c r="G1329" t="s">
        <v>245</v>
      </c>
      <c r="H1329" t="s">
        <v>373</v>
      </c>
    </row>
    <row r="1330" spans="1:8" hidden="1" x14ac:dyDescent="0.2">
      <c r="A1330" t="s">
        <v>609</v>
      </c>
      <c r="B1330" t="s">
        <v>85</v>
      </c>
      <c r="C1330" s="4">
        <v>6.1485489424495804E-3</v>
      </c>
      <c r="D1330" t="s">
        <v>256</v>
      </c>
      <c r="E1330" t="s">
        <v>374</v>
      </c>
      <c r="F1330" t="s">
        <v>375</v>
      </c>
      <c r="G1330" t="s">
        <v>245</v>
      </c>
    </row>
    <row r="1331" spans="1:8" hidden="1" x14ac:dyDescent="0.2">
      <c r="A1331" t="s">
        <v>609</v>
      </c>
      <c r="B1331" t="s">
        <v>116</v>
      </c>
      <c r="C1331" s="4">
        <v>7.1569109690113097E-2</v>
      </c>
      <c r="D1331" t="s">
        <v>256</v>
      </c>
      <c r="E1331" t="s">
        <v>374</v>
      </c>
      <c r="F1331" t="s">
        <v>375</v>
      </c>
      <c r="G1331" t="s">
        <v>245</v>
      </c>
    </row>
    <row r="1332" spans="1:8" hidden="1" x14ac:dyDescent="0.2">
      <c r="A1332" t="s">
        <v>609</v>
      </c>
      <c r="B1332" t="s">
        <v>86</v>
      </c>
      <c r="C1332" s="4">
        <v>0.61362518445646796</v>
      </c>
      <c r="D1332" t="s">
        <v>256</v>
      </c>
      <c r="E1332" t="s">
        <v>374</v>
      </c>
      <c r="F1332" t="s">
        <v>375</v>
      </c>
      <c r="G1332" t="s">
        <v>245</v>
      </c>
    </row>
    <row r="1333" spans="1:8" hidden="1" x14ac:dyDescent="0.2">
      <c r="A1333" t="s">
        <v>609</v>
      </c>
      <c r="B1333" t="s">
        <v>91</v>
      </c>
      <c r="C1333" s="4">
        <v>4.5745204131824903E-2</v>
      </c>
      <c r="D1333" t="s">
        <v>335</v>
      </c>
      <c r="E1333" t="s">
        <v>374</v>
      </c>
      <c r="F1333" t="s">
        <v>375</v>
      </c>
      <c r="G1333" t="s">
        <v>245</v>
      </c>
    </row>
    <row r="1334" spans="1:8" hidden="1" x14ac:dyDescent="0.2">
      <c r="A1334" t="s">
        <v>609</v>
      </c>
      <c r="B1334" t="s">
        <v>182</v>
      </c>
      <c r="C1334" s="4">
        <v>6.1485489424495804E-3</v>
      </c>
      <c r="D1334" t="s">
        <v>335</v>
      </c>
      <c r="E1334" t="s">
        <v>374</v>
      </c>
      <c r="F1334" t="s">
        <v>375</v>
      </c>
      <c r="G1334" t="s">
        <v>245</v>
      </c>
    </row>
    <row r="1335" spans="1:8" hidden="1" x14ac:dyDescent="0.2">
      <c r="A1335" t="s">
        <v>609</v>
      </c>
      <c r="B1335" t="s">
        <v>119</v>
      </c>
      <c r="C1335" s="4">
        <v>8.6079685194294098E-2</v>
      </c>
      <c r="D1335" t="s">
        <v>256</v>
      </c>
      <c r="E1335" t="s">
        <v>374</v>
      </c>
      <c r="F1335" t="s">
        <v>375</v>
      </c>
      <c r="G1335" t="s">
        <v>245</v>
      </c>
    </row>
    <row r="1336" spans="1:8" hidden="1" x14ac:dyDescent="0.2">
      <c r="A1336" t="s">
        <v>609</v>
      </c>
      <c r="B1336" t="s">
        <v>148</v>
      </c>
      <c r="C1336" s="4">
        <v>0.122970978848992</v>
      </c>
      <c r="D1336" t="s">
        <v>256</v>
      </c>
      <c r="E1336" t="s">
        <v>374</v>
      </c>
      <c r="F1336" t="s">
        <v>375</v>
      </c>
      <c r="G1336" t="s">
        <v>245</v>
      </c>
    </row>
    <row r="1337" spans="1:8" hidden="1" x14ac:dyDescent="0.2">
      <c r="A1337" t="s">
        <v>609</v>
      </c>
      <c r="B1337" t="s">
        <v>146</v>
      </c>
      <c r="C1337" s="4">
        <v>1.40186915887851E-2</v>
      </c>
      <c r="D1337" t="s">
        <v>256</v>
      </c>
      <c r="E1337" t="s">
        <v>374</v>
      </c>
      <c r="F1337" t="s">
        <v>375</v>
      </c>
      <c r="G1337" t="s">
        <v>245</v>
      </c>
    </row>
    <row r="1338" spans="1:8" hidden="1" x14ac:dyDescent="0.2">
      <c r="A1338" t="s">
        <v>609</v>
      </c>
      <c r="B1338" t="s">
        <v>107</v>
      </c>
      <c r="C1338" s="4">
        <v>8.6079685194294202E-3</v>
      </c>
      <c r="D1338" t="s">
        <v>256</v>
      </c>
      <c r="E1338" t="s">
        <v>374</v>
      </c>
      <c r="F1338" t="s">
        <v>375</v>
      </c>
      <c r="G1338" t="s">
        <v>245</v>
      </c>
    </row>
    <row r="1339" spans="1:8" hidden="1" x14ac:dyDescent="0.2">
      <c r="A1339" t="s">
        <v>610</v>
      </c>
      <c r="B1339" t="s">
        <v>163</v>
      </c>
      <c r="C1339" s="4">
        <f>(0.97265536032572/(0.97265536032572+0.0269012130849672)) *2.50860796851943%</f>
        <v>2.4410934332715482E-2</v>
      </c>
      <c r="D1339" t="s">
        <v>256</v>
      </c>
      <c r="E1339" t="s">
        <v>281</v>
      </c>
      <c r="F1339" t="s">
        <v>376</v>
      </c>
      <c r="G1339" t="s">
        <v>245</v>
      </c>
      <c r="H1339" t="s">
        <v>377</v>
      </c>
    </row>
    <row r="1340" spans="1:8" hidden="1" x14ac:dyDescent="0.2">
      <c r="A1340" t="s">
        <v>610</v>
      </c>
      <c r="B1340" t="s">
        <v>163</v>
      </c>
      <c r="C1340" s="4">
        <f>(0.0269012130849672/(0.97265536032572+0.0269012130849672)) * 2.50860796851943%</f>
        <v>6.7514535247881896E-4</v>
      </c>
      <c r="D1340" t="s">
        <v>335</v>
      </c>
      <c r="E1340" t="s">
        <v>361</v>
      </c>
      <c r="F1340" t="s">
        <v>376</v>
      </c>
      <c r="G1340" t="s">
        <v>245</v>
      </c>
    </row>
    <row r="1341" spans="1:8" hidden="1" x14ac:dyDescent="0.2">
      <c r="A1341" t="s">
        <v>610</v>
      </c>
      <c r="B1341" t="s">
        <v>85</v>
      </c>
      <c r="C1341" s="4">
        <f>(0.97265536032572/(0.97265536032572+0.0269012130849672)) * 0.614854894244958%</f>
        <v>5.9830721403714383E-3</v>
      </c>
      <c r="D1341" t="s">
        <v>256</v>
      </c>
      <c r="E1341" t="s">
        <v>281</v>
      </c>
      <c r="F1341" t="s">
        <v>376</v>
      </c>
      <c r="G1341" t="s">
        <v>245</v>
      </c>
    </row>
    <row r="1342" spans="1:8" hidden="1" x14ac:dyDescent="0.2">
      <c r="A1342" t="s">
        <v>610</v>
      </c>
      <c r="B1342" t="s">
        <v>85</v>
      </c>
      <c r="C1342" s="4">
        <f>(0.0269012130849672/(0.97265536032572+0.0269012130849672)) *0.614854894244958%</f>
        <v>1.6547680207814179E-4</v>
      </c>
      <c r="D1342" t="s">
        <v>256</v>
      </c>
      <c r="E1342" t="s">
        <v>361</v>
      </c>
      <c r="F1342" t="s">
        <v>376</v>
      </c>
      <c r="G1342" t="s">
        <v>245</v>
      </c>
    </row>
    <row r="1343" spans="1:8" hidden="1" x14ac:dyDescent="0.2">
      <c r="A1343" t="s">
        <v>610</v>
      </c>
      <c r="B1343" t="s">
        <v>116</v>
      </c>
      <c r="C1343" s="4">
        <f>(0.97265536032572/(0.97265536032572+0.0269012130849672)) * 7.15691096901131%</f>
        <v>6.9642959713923536E-2</v>
      </c>
      <c r="D1343" t="s">
        <v>256</v>
      </c>
      <c r="E1343" t="s">
        <v>281</v>
      </c>
      <c r="F1343" t="s">
        <v>376</v>
      </c>
      <c r="G1343" t="s">
        <v>245</v>
      </c>
    </row>
    <row r="1344" spans="1:8" hidden="1" x14ac:dyDescent="0.2">
      <c r="A1344" t="s">
        <v>610</v>
      </c>
      <c r="B1344" t="s">
        <v>116</v>
      </c>
      <c r="C1344" s="4">
        <f>(0.0269012130849672/(0.97265536032572+0.0269012130849672)) * 7.15691096901131%</f>
        <v>1.9261499761895702E-3</v>
      </c>
      <c r="D1344" t="s">
        <v>256</v>
      </c>
      <c r="E1344" t="s">
        <v>361</v>
      </c>
      <c r="F1344" t="s">
        <v>376</v>
      </c>
      <c r="G1344" t="s">
        <v>245</v>
      </c>
    </row>
    <row r="1345" spans="1:8" hidden="1" x14ac:dyDescent="0.2">
      <c r="A1345" t="s">
        <v>610</v>
      </c>
      <c r="B1345" t="s">
        <v>86</v>
      </c>
      <c r="C1345" s="4">
        <f>(0.97265536032572/(0.97265536032572+0.0269012130849672)) *61.3625184456468%</f>
        <v>0.59711059960906943</v>
      </c>
      <c r="D1345" t="s">
        <v>256</v>
      </c>
      <c r="E1345" t="s">
        <v>281</v>
      </c>
      <c r="F1345" t="s">
        <v>376</v>
      </c>
      <c r="G1345" t="s">
        <v>245</v>
      </c>
    </row>
    <row r="1346" spans="1:8" hidden="1" x14ac:dyDescent="0.2">
      <c r="A1346" t="s">
        <v>610</v>
      </c>
      <c r="B1346" t="s">
        <v>86</v>
      </c>
      <c r="C1346" s="4">
        <f>(0.0269012130849672/(0.97265536032572+0.0269012130849672)) * 61.3625184456468%</f>
        <v>1.6514584847398549E-2</v>
      </c>
      <c r="D1346" t="s">
        <v>256</v>
      </c>
      <c r="E1346" t="s">
        <v>361</v>
      </c>
      <c r="F1346" t="s">
        <v>376</v>
      </c>
      <c r="G1346" t="s">
        <v>245</v>
      </c>
    </row>
    <row r="1347" spans="1:8" hidden="1" x14ac:dyDescent="0.2">
      <c r="A1347" t="s">
        <v>610</v>
      </c>
      <c r="B1347" t="s">
        <v>91</v>
      </c>
      <c r="C1347" s="4">
        <f>(0.97265536032572/(0.97265536032572+0.0269012130849672)) * 4.57452041318249%</f>
        <v>4.4514056724363524E-2</v>
      </c>
      <c r="D1347" t="s">
        <v>256</v>
      </c>
      <c r="E1347" t="s">
        <v>281</v>
      </c>
      <c r="F1347" t="s">
        <v>376</v>
      </c>
      <c r="G1347" t="s">
        <v>245</v>
      </c>
    </row>
    <row r="1348" spans="1:8" hidden="1" x14ac:dyDescent="0.2">
      <c r="A1348" t="s">
        <v>610</v>
      </c>
      <c r="B1348" t="s">
        <v>91</v>
      </c>
      <c r="C1348" s="4">
        <f>(0.0269012130849672/(0.97265536032572+0.0269012130849672)) * 4.57452041318249%</f>
        <v>1.2311474074613755E-3</v>
      </c>
      <c r="D1348" t="s">
        <v>335</v>
      </c>
      <c r="E1348" t="s">
        <v>361</v>
      </c>
      <c r="F1348" t="s">
        <v>376</v>
      </c>
      <c r="G1348" t="s">
        <v>245</v>
      </c>
    </row>
    <row r="1349" spans="1:8" hidden="1" x14ac:dyDescent="0.2">
      <c r="A1349" t="s">
        <v>610</v>
      </c>
      <c r="B1349" t="s">
        <v>182</v>
      </c>
      <c r="C1349" s="4">
        <f>(0.97265536032572/(0.97265536032572+0.0269012130849672)) * 0.614854894244958%</f>
        <v>5.9830721403714383E-3</v>
      </c>
      <c r="D1349" t="s">
        <v>256</v>
      </c>
      <c r="E1349" t="s">
        <v>281</v>
      </c>
      <c r="F1349" t="s">
        <v>376</v>
      </c>
      <c r="G1349" t="s">
        <v>245</v>
      </c>
    </row>
    <row r="1350" spans="1:8" hidden="1" x14ac:dyDescent="0.2">
      <c r="A1350" t="s">
        <v>610</v>
      </c>
      <c r="B1350" t="s">
        <v>182</v>
      </c>
      <c r="C1350" s="4">
        <f>(0.0269012130849672/(0.97265536032572+0.0269012130849672)) * 0.614854894244958%</f>
        <v>1.6547680207814179E-4</v>
      </c>
      <c r="D1350" t="s">
        <v>335</v>
      </c>
      <c r="E1350" t="s">
        <v>361</v>
      </c>
      <c r="F1350" t="s">
        <v>376</v>
      </c>
      <c r="G1350" t="s">
        <v>245</v>
      </c>
    </row>
    <row r="1351" spans="1:8" hidden="1" x14ac:dyDescent="0.2">
      <c r="A1351" t="s">
        <v>610</v>
      </c>
      <c r="B1351" t="s">
        <v>119</v>
      </c>
      <c r="C1351" s="4">
        <f>(0.97265536032572/(0.97265536032572+0.0269012130849672)) * 8.60796851942941%</f>
        <v>8.3763009965200114E-2</v>
      </c>
      <c r="D1351" t="s">
        <v>256</v>
      </c>
      <c r="E1351" t="s">
        <v>281</v>
      </c>
      <c r="F1351" t="s">
        <v>376</v>
      </c>
      <c r="G1351" t="s">
        <v>245</v>
      </c>
    </row>
    <row r="1352" spans="1:8" hidden="1" x14ac:dyDescent="0.2">
      <c r="A1352" t="s">
        <v>610</v>
      </c>
      <c r="B1352" t="s">
        <v>119</v>
      </c>
      <c r="C1352" s="4">
        <f>(0.0269012130849672/(0.97265536032572+0.0269012130849672)) * 8.60796851942941%</f>
        <v>2.3166752290939845E-3</v>
      </c>
      <c r="D1352" t="s">
        <v>256</v>
      </c>
      <c r="E1352" t="s">
        <v>361</v>
      </c>
      <c r="F1352" t="s">
        <v>376</v>
      </c>
      <c r="G1352" t="s">
        <v>245</v>
      </c>
    </row>
    <row r="1353" spans="1:8" hidden="1" x14ac:dyDescent="0.2">
      <c r="A1353" t="s">
        <v>610</v>
      </c>
      <c r="B1353" t="s">
        <v>148</v>
      </c>
      <c r="C1353" s="4">
        <f>(0.97265536032572/(0.97265536032572+0.0269012130849672)) * 12.2970978848992%</f>
        <v>0.11966144280742916</v>
      </c>
      <c r="D1353" t="s">
        <v>256</v>
      </c>
      <c r="E1353" t="s">
        <v>281</v>
      </c>
      <c r="F1353" t="s">
        <v>376</v>
      </c>
      <c r="G1353" t="s">
        <v>245</v>
      </c>
    </row>
    <row r="1354" spans="1:8" hidden="1" x14ac:dyDescent="0.2">
      <c r="A1354" t="s">
        <v>610</v>
      </c>
      <c r="B1354" t="s">
        <v>148</v>
      </c>
      <c r="C1354" s="4">
        <f>(0.0269012130849672/(0.97265536032572+0.0269012130849672)) *12.2970978848992%</f>
        <v>3.3095360415628466E-3</v>
      </c>
      <c r="D1354" t="s">
        <v>256</v>
      </c>
      <c r="E1354" t="s">
        <v>361</v>
      </c>
      <c r="F1354" t="s">
        <v>376</v>
      </c>
      <c r="G1354" t="s">
        <v>245</v>
      </c>
    </row>
    <row r="1355" spans="1:8" hidden="1" x14ac:dyDescent="0.2">
      <c r="A1355" t="s">
        <v>610</v>
      </c>
      <c r="B1355" t="s">
        <v>146</v>
      </c>
      <c r="C1355" s="4">
        <f>(0.97265536032572/(0.97265536032572+0.0269012130849672)) * 1.40186915887851%</f>
        <v>1.3641404480046934E-2</v>
      </c>
      <c r="D1355" t="s">
        <v>256</v>
      </c>
      <c r="E1355" t="s">
        <v>281</v>
      </c>
      <c r="F1355" t="s">
        <v>376</v>
      </c>
      <c r="G1355" t="s">
        <v>245</v>
      </c>
    </row>
    <row r="1356" spans="1:8" hidden="1" x14ac:dyDescent="0.2">
      <c r="A1356" t="s">
        <v>610</v>
      </c>
      <c r="B1356" t="s">
        <v>146</v>
      </c>
      <c r="C1356" s="4">
        <f>(0.0269012130849672/(0.97265536032572+0.0269012130849672)) * 1.40186915887851%</f>
        <v>3.7728710873816482E-4</v>
      </c>
      <c r="D1356" t="s">
        <v>256</v>
      </c>
      <c r="E1356" t="s">
        <v>361</v>
      </c>
      <c r="F1356" t="s">
        <v>376</v>
      </c>
      <c r="G1356" t="s">
        <v>245</v>
      </c>
    </row>
    <row r="1357" spans="1:8" hidden="1" x14ac:dyDescent="0.2">
      <c r="A1357" t="s">
        <v>610</v>
      </c>
      <c r="B1357" t="s">
        <v>107</v>
      </c>
      <c r="C1357" s="4">
        <f>(0.97265536032572/(0.97265536032572+0.0269012130849672)) * 0.860796851942942%</f>
        <v>8.3763009965200225E-3</v>
      </c>
      <c r="D1357" t="s">
        <v>256</v>
      </c>
      <c r="E1357" t="s">
        <v>281</v>
      </c>
      <c r="F1357" t="s">
        <v>376</v>
      </c>
      <c r="G1357" t="s">
        <v>245</v>
      </c>
    </row>
    <row r="1358" spans="1:8" hidden="1" x14ac:dyDescent="0.2">
      <c r="A1358" t="s">
        <v>610</v>
      </c>
      <c r="B1358" t="s">
        <v>107</v>
      </c>
      <c r="C1358" s="4">
        <f>(0.0269012130849672/(0.97265536032572+0.0269012130849672)) * 0.860796851942942%</f>
        <v>2.3166752290939874E-4</v>
      </c>
      <c r="D1358" t="s">
        <v>256</v>
      </c>
      <c r="E1358" t="s">
        <v>361</v>
      </c>
      <c r="F1358" t="s">
        <v>376</v>
      </c>
      <c r="G1358" t="s">
        <v>245</v>
      </c>
    </row>
    <row r="1359" spans="1:8" hidden="1" x14ac:dyDescent="0.2">
      <c r="A1359" t="s">
        <v>31</v>
      </c>
      <c r="B1359" t="s">
        <v>183</v>
      </c>
      <c r="C1359" s="4">
        <v>2.6783205307300429E-4</v>
      </c>
      <c r="D1359" t="s">
        <v>256</v>
      </c>
      <c r="E1359" t="s">
        <v>519</v>
      </c>
      <c r="F1359" t="s">
        <v>526</v>
      </c>
      <c r="G1359" t="s">
        <v>245</v>
      </c>
      <c r="H1359" t="s">
        <v>518</v>
      </c>
    </row>
    <row r="1360" spans="1:8" hidden="1" x14ac:dyDescent="0.2">
      <c r="A1360" t="s">
        <v>31</v>
      </c>
      <c r="B1360" t="s">
        <v>83</v>
      </c>
      <c r="C1360" s="4">
        <v>0.29341971785810372</v>
      </c>
      <c r="D1360" t="s">
        <v>256</v>
      </c>
      <c r="E1360" t="s">
        <v>519</v>
      </c>
      <c r="F1360" t="s">
        <v>526</v>
      </c>
      <c r="G1360" t="s">
        <v>245</v>
      </c>
    </row>
    <row r="1361" spans="1:8" hidden="1" x14ac:dyDescent="0.2">
      <c r="A1361" t="s">
        <v>31</v>
      </c>
      <c r="B1361" t="s">
        <v>181</v>
      </c>
      <c r="C1361" s="4">
        <v>9.927026603377769E-4</v>
      </c>
      <c r="D1361" t="s">
        <v>256</v>
      </c>
      <c r="E1361" t="s">
        <v>519</v>
      </c>
      <c r="F1361" t="s">
        <v>526</v>
      </c>
      <c r="G1361" t="s">
        <v>245</v>
      </c>
    </row>
    <row r="1362" spans="1:8" hidden="1" x14ac:dyDescent="0.2">
      <c r="A1362" t="s">
        <v>31</v>
      </c>
      <c r="B1362" t="s">
        <v>212</v>
      </c>
      <c r="C1362" s="4">
        <v>9.5730274931144284E-6</v>
      </c>
      <c r="D1362" t="s">
        <v>256</v>
      </c>
      <c r="E1362" t="s">
        <v>519</v>
      </c>
      <c r="F1362" t="s">
        <v>526</v>
      </c>
      <c r="G1362" t="s">
        <v>245</v>
      </c>
    </row>
    <row r="1363" spans="1:8" hidden="1" x14ac:dyDescent="0.2">
      <c r="A1363" t="s">
        <v>31</v>
      </c>
      <c r="B1363" t="s">
        <v>144</v>
      </c>
      <c r="C1363" s="4">
        <v>1.5806157015486439E-5</v>
      </c>
      <c r="D1363" t="s">
        <v>256</v>
      </c>
      <c r="E1363" t="s">
        <v>519</v>
      </c>
      <c r="F1363" t="s">
        <v>526</v>
      </c>
      <c r="G1363" t="s">
        <v>245</v>
      </c>
    </row>
    <row r="1364" spans="1:8" hidden="1" x14ac:dyDescent="0.2">
      <c r="A1364" t="s">
        <v>31</v>
      </c>
      <c r="B1364" t="s">
        <v>84</v>
      </c>
      <c r="C1364" s="4">
        <v>4.7977246154582532E-4</v>
      </c>
      <c r="D1364" t="s">
        <v>256</v>
      </c>
      <c r="E1364" t="s">
        <v>519</v>
      </c>
      <c r="F1364" t="s">
        <v>526</v>
      </c>
      <c r="G1364" t="s">
        <v>245</v>
      </c>
    </row>
    <row r="1365" spans="1:8" hidden="1" x14ac:dyDescent="0.2">
      <c r="A1365" t="s">
        <v>31</v>
      </c>
      <c r="B1365" t="s">
        <v>85</v>
      </c>
      <c r="C1365" s="4">
        <v>0.13678655690146471</v>
      </c>
      <c r="D1365" t="s">
        <v>456</v>
      </c>
      <c r="E1365" t="s">
        <v>458</v>
      </c>
      <c r="F1365" t="s">
        <v>526</v>
      </c>
      <c r="G1365" t="s">
        <v>245</v>
      </c>
    </row>
    <row r="1366" spans="1:8" hidden="1" x14ac:dyDescent="0.2">
      <c r="A1366" t="s">
        <v>31</v>
      </c>
      <c r="B1366" t="s">
        <v>116</v>
      </c>
      <c r="C1366" s="4">
        <v>1.8119540239443479E-2</v>
      </c>
      <c r="D1366" t="s">
        <v>289</v>
      </c>
      <c r="E1366" t="s">
        <v>527</v>
      </c>
      <c r="F1366" t="s">
        <v>526</v>
      </c>
      <c r="G1366" t="s">
        <v>245</v>
      </c>
    </row>
    <row r="1367" spans="1:8" hidden="1" x14ac:dyDescent="0.2">
      <c r="A1367" t="s">
        <v>31</v>
      </c>
      <c r="B1367" t="s">
        <v>145</v>
      </c>
      <c r="C1367" s="4">
        <v>4.8928721136570494E-3</v>
      </c>
      <c r="D1367" t="s">
        <v>256</v>
      </c>
      <c r="E1367" t="s">
        <v>519</v>
      </c>
      <c r="F1367" t="s">
        <v>526</v>
      </c>
      <c r="G1367" t="s">
        <v>245</v>
      </c>
    </row>
    <row r="1368" spans="1:8" hidden="1" x14ac:dyDescent="0.2">
      <c r="A1368" t="s">
        <v>31</v>
      </c>
      <c r="B1368" t="s">
        <v>86</v>
      </c>
      <c r="C1368" s="4">
        <f xml:space="preserve"> (0.0075812778161116/ (0.330538489833607 * 0.909423121018547  + 0.0075812778161116 + 0.0053783839453516 + 0.000498720250908245 + 4.29106402225506E-07)) * 0.292492156922487</f>
        <v>7.060680505088698E-3</v>
      </c>
      <c r="D1368" t="s">
        <v>254</v>
      </c>
      <c r="E1368" t="s">
        <v>568</v>
      </c>
      <c r="F1368" t="s">
        <v>526</v>
      </c>
      <c r="G1368" t="s">
        <v>245</v>
      </c>
    </row>
    <row r="1369" spans="1:8" hidden="1" x14ac:dyDescent="0.2">
      <c r="A1369" t="s">
        <v>31</v>
      </c>
      <c r="B1369" t="s">
        <v>86</v>
      </c>
      <c r="C1369" s="4">
        <f xml:space="preserve"> (0.0053783839453516/ (0.330538489833607 * 0.909423121018547  + 0.0075812778161116 + 0.0053783839453516 + 0.000498720250908245 + 4.29106402225506E-07))* 0.292492156922487</f>
        <v>5.0090567306638155E-3</v>
      </c>
      <c r="D1369" t="s">
        <v>462</v>
      </c>
      <c r="E1369" t="s">
        <v>569</v>
      </c>
      <c r="F1369" t="s">
        <v>526</v>
      </c>
      <c r="G1369" t="s">
        <v>245</v>
      </c>
    </row>
    <row r="1370" spans="1:8" hidden="1" x14ac:dyDescent="0.2">
      <c r="A1370" t="s">
        <v>31</v>
      </c>
      <c r="B1370" t="s">
        <v>86</v>
      </c>
      <c r="C1370" s="4">
        <f xml:space="preserve"> (0.000498720250908245/ (0.330538489833607 * 0.909423121018547  + 0.0075812778161116 + 0.0053783839453516 + 0.000498720250908245 + 4.29106402225506E-07))* 0.292492156922487</f>
        <v>4.644737257349117E-4</v>
      </c>
      <c r="D1370" t="s">
        <v>462</v>
      </c>
      <c r="E1370" t="s">
        <v>461</v>
      </c>
      <c r="F1370" t="s">
        <v>526</v>
      </c>
      <c r="G1370" t="s">
        <v>245</v>
      </c>
    </row>
    <row r="1371" spans="1:8" hidden="1" x14ac:dyDescent="0.2">
      <c r="A1371" t="s">
        <v>31</v>
      </c>
      <c r="B1371" t="s">
        <v>86</v>
      </c>
      <c r="C1371" s="4">
        <f xml:space="preserve"> (4.29106402225506E-07/ (0.330538489833607 * 0.909423121018547  + 0.0075812778161116 + 0.0053783839453516 + 0.000498720250908245 + 4.29106402225506E-07))* 0.292492156922487</f>
        <v>3.9964017706402167E-7</v>
      </c>
      <c r="D1371" t="s">
        <v>572</v>
      </c>
      <c r="E1371" t="s">
        <v>570</v>
      </c>
      <c r="F1371" t="s">
        <v>526</v>
      </c>
      <c r="G1371" t="s">
        <v>245</v>
      </c>
    </row>
    <row r="1372" spans="1:8" hidden="1" x14ac:dyDescent="0.2">
      <c r="A1372" t="s">
        <v>31</v>
      </c>
      <c r="B1372" t="s">
        <v>86</v>
      </c>
      <c r="C1372" s="4">
        <f xml:space="preserve"> (0.330538489833607 * 0.909423121018547 / (0.330538489833607 * 0.909423121018547  + 0.0075812778161116 + 0.0053783839453516 + 0.000498720250908245 + 4.29106402225506E-07))* 0.292492156922487</f>
        <v>0.27995754632082243</v>
      </c>
      <c r="D1372" t="s">
        <v>256</v>
      </c>
      <c r="E1372" t="s">
        <v>519</v>
      </c>
      <c r="F1372" t="s">
        <v>526</v>
      </c>
      <c r="G1372" t="s">
        <v>245</v>
      </c>
      <c r="H1372" t="s">
        <v>571</v>
      </c>
    </row>
    <row r="1373" spans="1:8" hidden="1" x14ac:dyDescent="0.2">
      <c r="A1373" t="s">
        <v>31</v>
      </c>
      <c r="B1373" t="s">
        <v>87</v>
      </c>
      <c r="C1373" s="4">
        <v>2.253439506276323E-4</v>
      </c>
      <c r="D1373" t="s">
        <v>256</v>
      </c>
      <c r="E1373" t="s">
        <v>519</v>
      </c>
      <c r="F1373" t="s">
        <v>526</v>
      </c>
      <c r="G1373" t="s">
        <v>245</v>
      </c>
    </row>
    <row r="1374" spans="1:8" hidden="1" x14ac:dyDescent="0.2">
      <c r="A1374" t="s">
        <v>31</v>
      </c>
      <c r="B1374" t="s">
        <v>128</v>
      </c>
      <c r="C1374" s="4">
        <v>9.2224579238873056E-5</v>
      </c>
      <c r="D1374" t="s">
        <v>256</v>
      </c>
      <c r="E1374" t="s">
        <v>519</v>
      </c>
      <c r="F1374" t="s">
        <v>526</v>
      </c>
      <c r="G1374" t="s">
        <v>245</v>
      </c>
    </row>
    <row r="1375" spans="1:8" hidden="1" x14ac:dyDescent="0.2">
      <c r="A1375" t="s">
        <v>31</v>
      </c>
      <c r="B1375" t="s">
        <v>117</v>
      </c>
      <c r="C1375" s="4">
        <v>1.5220605155840319E-4</v>
      </c>
      <c r="D1375" t="s">
        <v>256</v>
      </c>
      <c r="E1375" t="s">
        <v>519</v>
      </c>
      <c r="F1375" t="s">
        <v>526</v>
      </c>
      <c r="G1375" t="s">
        <v>245</v>
      </c>
    </row>
    <row r="1376" spans="1:8" hidden="1" x14ac:dyDescent="0.2">
      <c r="A1376" t="s">
        <v>31</v>
      </c>
      <c r="B1376" t="s">
        <v>196</v>
      </c>
      <c r="C1376" s="4">
        <v>8.2111499066212875E-7</v>
      </c>
      <c r="D1376" t="s">
        <v>256</v>
      </c>
      <c r="E1376" t="s">
        <v>519</v>
      </c>
      <c r="F1376" t="s">
        <v>526</v>
      </c>
      <c r="G1376" t="s">
        <v>245</v>
      </c>
    </row>
    <row r="1377" spans="1:7" hidden="1" x14ac:dyDescent="0.2">
      <c r="A1377" t="s">
        <v>31</v>
      </c>
      <c r="B1377" t="s">
        <v>94</v>
      </c>
      <c r="C1377" s="4">
        <v>1.546844983859123E-4</v>
      </c>
      <c r="D1377" t="s">
        <v>256</v>
      </c>
      <c r="E1377" t="s">
        <v>519</v>
      </c>
      <c r="F1377" t="s">
        <v>526</v>
      </c>
      <c r="G1377" t="s">
        <v>245</v>
      </c>
    </row>
    <row r="1378" spans="1:7" hidden="1" x14ac:dyDescent="0.2">
      <c r="A1378" t="s">
        <v>31</v>
      </c>
      <c r="B1378" t="s">
        <v>97</v>
      </c>
      <c r="C1378" s="4">
        <v>6.8199334161939323E-2</v>
      </c>
      <c r="D1378" t="s">
        <v>309</v>
      </c>
      <c r="E1378" t="s">
        <v>519</v>
      </c>
      <c r="F1378" t="s">
        <v>526</v>
      </c>
      <c r="G1378" t="s">
        <v>245</v>
      </c>
    </row>
    <row r="1379" spans="1:7" hidden="1" x14ac:dyDescent="0.2">
      <c r="A1379" t="s">
        <v>31</v>
      </c>
      <c r="B1379" t="s">
        <v>98</v>
      </c>
      <c r="C1379" s="4">
        <v>8.8592228027528153E-4</v>
      </c>
      <c r="D1379" t="s">
        <v>256</v>
      </c>
      <c r="E1379" t="s">
        <v>519</v>
      </c>
      <c r="F1379" t="s">
        <v>526</v>
      </c>
      <c r="G1379" t="s">
        <v>245</v>
      </c>
    </row>
    <row r="1380" spans="1:7" hidden="1" x14ac:dyDescent="0.2">
      <c r="A1380" t="s">
        <v>31</v>
      </c>
      <c r="B1380" t="s">
        <v>99</v>
      </c>
      <c r="C1380" s="4">
        <v>3.0378349741597348E-2</v>
      </c>
      <c r="D1380" t="s">
        <v>256</v>
      </c>
      <c r="E1380" t="s">
        <v>519</v>
      </c>
      <c r="F1380" t="s">
        <v>526</v>
      </c>
      <c r="G1380" t="s">
        <v>245</v>
      </c>
    </row>
    <row r="1381" spans="1:7" hidden="1" x14ac:dyDescent="0.2">
      <c r="A1381" t="s">
        <v>31</v>
      </c>
      <c r="B1381" t="s">
        <v>102</v>
      </c>
      <c r="C1381" s="4">
        <v>1.631396013432844E-2</v>
      </c>
      <c r="D1381" t="s">
        <v>256</v>
      </c>
      <c r="E1381" t="s">
        <v>519</v>
      </c>
      <c r="F1381" t="s">
        <v>526</v>
      </c>
      <c r="G1381" t="s">
        <v>245</v>
      </c>
    </row>
    <row r="1382" spans="1:7" hidden="1" x14ac:dyDescent="0.2">
      <c r="A1382" t="s">
        <v>31</v>
      </c>
      <c r="B1382" t="s">
        <v>148</v>
      </c>
      <c r="C1382" s="4">
        <v>1.3859108342627449E-4</v>
      </c>
      <c r="D1382" t="s">
        <v>256</v>
      </c>
      <c r="E1382" t="s">
        <v>519</v>
      </c>
      <c r="F1382" t="s">
        <v>526</v>
      </c>
      <c r="G1382" t="s">
        <v>245</v>
      </c>
    </row>
    <row r="1383" spans="1:7" hidden="1" x14ac:dyDescent="0.2">
      <c r="A1383" t="s">
        <v>31</v>
      </c>
      <c r="B1383" t="s">
        <v>149</v>
      </c>
      <c r="C1383" s="4">
        <v>1.0631319060895421E-3</v>
      </c>
      <c r="D1383" t="s">
        <v>256</v>
      </c>
      <c r="E1383" t="s">
        <v>519</v>
      </c>
      <c r="F1383" t="s">
        <v>526</v>
      </c>
      <c r="G1383" t="s">
        <v>245</v>
      </c>
    </row>
    <row r="1384" spans="1:7" hidden="1" x14ac:dyDescent="0.2">
      <c r="A1384" t="s">
        <v>31</v>
      </c>
      <c r="B1384" t="s">
        <v>171</v>
      </c>
      <c r="C1384" s="4">
        <v>3.4560893237714599E-4</v>
      </c>
      <c r="D1384" t="s">
        <v>256</v>
      </c>
      <c r="E1384" t="s">
        <v>519</v>
      </c>
      <c r="F1384" t="s">
        <v>526</v>
      </c>
      <c r="G1384" t="s">
        <v>245</v>
      </c>
    </row>
    <row r="1385" spans="1:7" hidden="1" x14ac:dyDescent="0.2">
      <c r="A1385" t="s">
        <v>31</v>
      </c>
      <c r="B1385" t="s">
        <v>199</v>
      </c>
      <c r="C1385" s="4">
        <v>1.3272189571443009E-3</v>
      </c>
      <c r="D1385" t="s">
        <v>256</v>
      </c>
      <c r="E1385" t="s">
        <v>519</v>
      </c>
      <c r="F1385" t="s">
        <v>526</v>
      </c>
      <c r="G1385" t="s">
        <v>245</v>
      </c>
    </row>
    <row r="1386" spans="1:7" hidden="1" x14ac:dyDescent="0.2">
      <c r="A1386" t="s">
        <v>31</v>
      </c>
      <c r="B1386" t="s">
        <v>213</v>
      </c>
      <c r="C1386" s="4">
        <v>1.3269626128274799E-6</v>
      </c>
      <c r="D1386" t="s">
        <v>256</v>
      </c>
      <c r="E1386" t="s">
        <v>519</v>
      </c>
      <c r="F1386" t="s">
        <v>526</v>
      </c>
      <c r="G1386" t="s">
        <v>245</v>
      </c>
    </row>
    <row r="1387" spans="1:7" hidden="1" x14ac:dyDescent="0.2">
      <c r="A1387" t="s">
        <v>31</v>
      </c>
      <c r="B1387" t="s">
        <v>103</v>
      </c>
      <c r="C1387" s="4">
        <v>1.3991561941616331E-3</v>
      </c>
      <c r="D1387" t="s">
        <v>256</v>
      </c>
      <c r="E1387" t="s">
        <v>519</v>
      </c>
      <c r="F1387" t="s">
        <v>526</v>
      </c>
      <c r="G1387" t="s">
        <v>245</v>
      </c>
    </row>
    <row r="1388" spans="1:7" hidden="1" x14ac:dyDescent="0.2">
      <c r="A1388" t="s">
        <v>31</v>
      </c>
      <c r="B1388" t="s">
        <v>172</v>
      </c>
      <c r="C1388" s="4">
        <v>3.8627905538410261E-3</v>
      </c>
      <c r="D1388" t="s">
        <v>256</v>
      </c>
      <c r="E1388" t="s">
        <v>519</v>
      </c>
      <c r="F1388" t="s">
        <v>526</v>
      </c>
      <c r="G1388" t="s">
        <v>245</v>
      </c>
    </row>
    <row r="1389" spans="1:7" hidden="1" x14ac:dyDescent="0.2">
      <c r="A1389" t="s">
        <v>31</v>
      </c>
      <c r="B1389" t="s">
        <v>150</v>
      </c>
      <c r="C1389" s="4">
        <v>7.7308814072056019E-3</v>
      </c>
      <c r="D1389" t="s">
        <v>256</v>
      </c>
      <c r="E1389" t="s">
        <v>519</v>
      </c>
      <c r="F1389" t="s">
        <v>526</v>
      </c>
      <c r="G1389" t="s">
        <v>245</v>
      </c>
    </row>
    <row r="1390" spans="1:7" hidden="1" x14ac:dyDescent="0.2">
      <c r="A1390" t="s">
        <v>31</v>
      </c>
      <c r="B1390" t="s">
        <v>173</v>
      </c>
      <c r="C1390" s="4">
        <v>2.638862092838758E-3</v>
      </c>
      <c r="D1390" t="s">
        <v>256</v>
      </c>
      <c r="E1390" t="s">
        <v>519</v>
      </c>
      <c r="F1390" t="s">
        <v>526</v>
      </c>
      <c r="G1390" t="s">
        <v>245</v>
      </c>
    </row>
    <row r="1391" spans="1:7" hidden="1" x14ac:dyDescent="0.2">
      <c r="A1391" t="s">
        <v>31</v>
      </c>
      <c r="B1391" t="s">
        <v>161</v>
      </c>
      <c r="C1391" s="4">
        <v>1.9425891078307059E-5</v>
      </c>
      <c r="D1391" t="s">
        <v>256</v>
      </c>
      <c r="E1391" t="s">
        <v>519</v>
      </c>
      <c r="F1391" t="s">
        <v>526</v>
      </c>
      <c r="G1391" t="s">
        <v>245</v>
      </c>
    </row>
    <row r="1392" spans="1:7" hidden="1" x14ac:dyDescent="0.2">
      <c r="A1392" t="s">
        <v>31</v>
      </c>
      <c r="B1392" t="s">
        <v>175</v>
      </c>
      <c r="C1392" s="4">
        <v>1.0571427941557651E-5</v>
      </c>
      <c r="D1392" t="s">
        <v>256</v>
      </c>
      <c r="E1392" t="s">
        <v>519</v>
      </c>
      <c r="F1392" t="s">
        <v>526</v>
      </c>
      <c r="G1392" t="s">
        <v>245</v>
      </c>
    </row>
    <row r="1393" spans="1:8" hidden="1" x14ac:dyDescent="0.2">
      <c r="A1393" t="s">
        <v>31</v>
      </c>
      <c r="B1393" t="s">
        <v>214</v>
      </c>
      <c r="C1393" s="4">
        <v>9.2611806303556921E-8</v>
      </c>
      <c r="D1393" t="s">
        <v>256</v>
      </c>
      <c r="E1393" t="s">
        <v>519</v>
      </c>
      <c r="F1393" t="s">
        <v>526</v>
      </c>
      <c r="G1393" t="s">
        <v>245</v>
      </c>
    </row>
    <row r="1394" spans="1:8" hidden="1" x14ac:dyDescent="0.2">
      <c r="A1394" t="s">
        <v>31</v>
      </c>
      <c r="B1394" t="s">
        <v>131</v>
      </c>
      <c r="C1394" s="4">
        <v>1.2912731850324511E-3</v>
      </c>
      <c r="D1394" t="s">
        <v>256</v>
      </c>
      <c r="E1394" t="s">
        <v>519</v>
      </c>
      <c r="F1394" t="s">
        <v>526</v>
      </c>
      <c r="G1394" t="s">
        <v>245</v>
      </c>
    </row>
    <row r="1395" spans="1:8" hidden="1" x14ac:dyDescent="0.2">
      <c r="A1395" t="s">
        <v>31</v>
      </c>
      <c r="B1395" t="s">
        <v>203</v>
      </c>
      <c r="C1395" s="4">
        <v>4.1930237320850831E-7</v>
      </c>
      <c r="D1395" t="s">
        <v>256</v>
      </c>
      <c r="E1395" t="s">
        <v>519</v>
      </c>
      <c r="F1395" t="s">
        <v>526</v>
      </c>
      <c r="G1395" t="s">
        <v>245</v>
      </c>
    </row>
    <row r="1396" spans="1:8" hidden="1" x14ac:dyDescent="0.2">
      <c r="A1396" t="s">
        <v>31</v>
      </c>
      <c r="B1396" t="s">
        <v>132</v>
      </c>
      <c r="C1396" s="4">
        <v>5.5647607650235163E-4</v>
      </c>
      <c r="D1396" t="s">
        <v>256</v>
      </c>
      <c r="E1396" t="s">
        <v>519</v>
      </c>
      <c r="F1396" t="s">
        <v>526</v>
      </c>
      <c r="G1396" t="s">
        <v>245</v>
      </c>
    </row>
    <row r="1397" spans="1:8" hidden="1" x14ac:dyDescent="0.2">
      <c r="A1397" t="s">
        <v>31</v>
      </c>
      <c r="B1397" t="s">
        <v>106</v>
      </c>
      <c r="C1397" s="4">
        <v>2.0559956528862279E-4</v>
      </c>
      <c r="D1397" t="s">
        <v>256</v>
      </c>
      <c r="E1397" t="s">
        <v>519</v>
      </c>
      <c r="F1397" t="s">
        <v>526</v>
      </c>
      <c r="G1397" t="s">
        <v>245</v>
      </c>
    </row>
    <row r="1398" spans="1:8" hidden="1" x14ac:dyDescent="0.2">
      <c r="A1398" t="s">
        <v>31</v>
      </c>
      <c r="B1398" t="s">
        <v>146</v>
      </c>
      <c r="C1398" s="4">
        <v>3.1948540709724111E-3</v>
      </c>
      <c r="D1398" t="s">
        <v>256</v>
      </c>
      <c r="E1398" t="s">
        <v>519</v>
      </c>
      <c r="F1398" t="s">
        <v>526</v>
      </c>
      <c r="G1398" t="s">
        <v>245</v>
      </c>
    </row>
    <row r="1399" spans="1:8" hidden="1" x14ac:dyDescent="0.2">
      <c r="A1399" t="s">
        <v>31</v>
      </c>
      <c r="B1399" t="s">
        <v>156</v>
      </c>
      <c r="C1399" s="4">
        <v>7.7659033200789611E-6</v>
      </c>
      <c r="D1399" t="s">
        <v>256</v>
      </c>
      <c r="E1399" t="s">
        <v>519</v>
      </c>
      <c r="F1399" t="s">
        <v>526</v>
      </c>
      <c r="G1399" t="s">
        <v>245</v>
      </c>
    </row>
    <row r="1400" spans="1:8" hidden="1" x14ac:dyDescent="0.2">
      <c r="A1400" t="s">
        <v>31</v>
      </c>
      <c r="B1400" t="s">
        <v>107</v>
      </c>
      <c r="C1400" s="4">
        <f xml:space="preserve"> (0.475037028128714*0.000121381571398847/(0.0423830486231445*0.909423121018547+0.475037028128714*0.000121381571398847)) * 3.15848209093803%</f>
        <v>4.717927348909763E-5</v>
      </c>
      <c r="D1400" t="s">
        <v>256</v>
      </c>
      <c r="E1400" t="s">
        <v>458</v>
      </c>
      <c r="F1400" t="s">
        <v>526</v>
      </c>
      <c r="G1400" t="s">
        <v>245</v>
      </c>
      <c r="H1400" t="s">
        <v>592</v>
      </c>
    </row>
    <row r="1401" spans="1:8" hidden="1" x14ac:dyDescent="0.2">
      <c r="A1401" t="s">
        <v>31</v>
      </c>
      <c r="B1401" t="s">
        <v>107</v>
      </c>
      <c r="C1401" s="4">
        <f xml:space="preserve"> (0.0423830486231445*0.909423121018547/(0.0423830486231445*0.909423121018547+0.475037028128714*0.000121381571398847)) * 3.15848209093803%</f>
        <v>3.1537641635891199E-2</v>
      </c>
      <c r="D1401" t="s">
        <v>256</v>
      </c>
      <c r="E1401" t="s">
        <v>519</v>
      </c>
      <c r="F1401" t="s">
        <v>526</v>
      </c>
      <c r="G1401" t="s">
        <v>245</v>
      </c>
      <c r="H1401" t="s">
        <v>593</v>
      </c>
    </row>
    <row r="1402" spans="1:8" hidden="1" x14ac:dyDescent="0.2">
      <c r="A1402" t="s">
        <v>31</v>
      </c>
      <c r="B1402" t="s">
        <v>109</v>
      </c>
      <c r="C1402" s="4">
        <v>6.3327501385463422E-4</v>
      </c>
      <c r="D1402" t="s">
        <v>256</v>
      </c>
      <c r="E1402" t="s">
        <v>519</v>
      </c>
      <c r="F1402" t="s">
        <v>526</v>
      </c>
      <c r="G1402" t="s">
        <v>245</v>
      </c>
    </row>
    <row r="1403" spans="1:8" hidden="1" x14ac:dyDescent="0.2">
      <c r="A1403" t="s">
        <v>31</v>
      </c>
      <c r="B1403" t="s">
        <v>137</v>
      </c>
      <c r="C1403" s="4">
        <v>2.2592365535860168E-2</v>
      </c>
      <c r="D1403" t="s">
        <v>256</v>
      </c>
      <c r="E1403" t="s">
        <v>519</v>
      </c>
      <c r="F1403" t="s">
        <v>526</v>
      </c>
      <c r="G1403" t="s">
        <v>245</v>
      </c>
    </row>
    <row r="1404" spans="1:8" hidden="1" x14ac:dyDescent="0.2">
      <c r="A1404" t="s">
        <v>31</v>
      </c>
      <c r="B1404" t="s">
        <v>121</v>
      </c>
      <c r="C1404" s="4">
        <v>4.5176490879783862E-6</v>
      </c>
      <c r="D1404" t="s">
        <v>256</v>
      </c>
      <c r="E1404" t="s">
        <v>519</v>
      </c>
      <c r="F1404" t="s">
        <v>526</v>
      </c>
      <c r="G1404" t="s">
        <v>245</v>
      </c>
    </row>
    <row r="1405" spans="1:8" hidden="1" x14ac:dyDescent="0.2">
      <c r="A1405" t="s">
        <v>31</v>
      </c>
      <c r="B1405" t="s">
        <v>138</v>
      </c>
      <c r="C1405" s="4">
        <v>1.206799600871666E-2</v>
      </c>
      <c r="D1405" t="s">
        <v>256</v>
      </c>
      <c r="E1405" t="s">
        <v>519</v>
      </c>
      <c r="F1405" t="s">
        <v>526</v>
      </c>
      <c r="G1405" t="s">
        <v>245</v>
      </c>
    </row>
    <row r="1406" spans="1:8" hidden="1" x14ac:dyDescent="0.2">
      <c r="A1406" t="s">
        <v>31</v>
      </c>
      <c r="B1406" t="s">
        <v>215</v>
      </c>
      <c r="C1406" s="4">
        <v>2.9425900948079559E-5</v>
      </c>
      <c r="D1406" t="s">
        <v>256</v>
      </c>
      <c r="E1406" t="s">
        <v>519</v>
      </c>
      <c r="F1406" t="s">
        <v>526</v>
      </c>
      <c r="G1406" t="s">
        <v>245</v>
      </c>
    </row>
    <row r="1407" spans="1:8" hidden="1" x14ac:dyDescent="0.2">
      <c r="A1407" t="s">
        <v>31</v>
      </c>
      <c r="B1407" t="s">
        <v>216</v>
      </c>
      <c r="C1407" s="4">
        <v>6.4515643095601743E-5</v>
      </c>
      <c r="D1407" t="s">
        <v>256</v>
      </c>
      <c r="E1407" t="s">
        <v>519</v>
      </c>
      <c r="F1407" t="s">
        <v>526</v>
      </c>
      <c r="G1407" t="s">
        <v>245</v>
      </c>
    </row>
    <row r="1408" spans="1:8" hidden="1" x14ac:dyDescent="0.2">
      <c r="A1408" t="s">
        <v>31</v>
      </c>
      <c r="B1408" t="s">
        <v>112</v>
      </c>
      <c r="C1408" s="4">
        <v>5.0095616988426479E-3</v>
      </c>
      <c r="D1408" t="s">
        <v>256</v>
      </c>
      <c r="E1408" t="s">
        <v>519</v>
      </c>
      <c r="F1408" t="s">
        <v>526</v>
      </c>
      <c r="G1408" t="s">
        <v>245</v>
      </c>
    </row>
    <row r="1409" spans="1:7" hidden="1" x14ac:dyDescent="0.2">
      <c r="A1409" t="s">
        <v>31</v>
      </c>
      <c r="B1409" t="s">
        <v>113</v>
      </c>
      <c r="C1409" s="4">
        <v>1.4914695774740069E-2</v>
      </c>
      <c r="D1409" t="s">
        <v>256</v>
      </c>
      <c r="E1409" t="s">
        <v>519</v>
      </c>
      <c r="F1409" t="s">
        <v>526</v>
      </c>
      <c r="G1409" t="s">
        <v>245</v>
      </c>
    </row>
    <row r="1410" spans="1:7" hidden="1" x14ac:dyDescent="0.2">
      <c r="A1410" t="s">
        <v>31</v>
      </c>
      <c r="B1410" t="s">
        <v>142</v>
      </c>
      <c r="C1410" s="4">
        <v>4.4014809685732282E-7</v>
      </c>
      <c r="D1410" t="s">
        <v>256</v>
      </c>
      <c r="E1410" t="s">
        <v>519</v>
      </c>
      <c r="F1410" t="s">
        <v>526</v>
      </c>
      <c r="G1410" t="s">
        <v>245</v>
      </c>
    </row>
    <row r="1411" spans="1:7" hidden="1" x14ac:dyDescent="0.2">
      <c r="A1411" t="s">
        <v>31</v>
      </c>
      <c r="B1411" t="s">
        <v>122</v>
      </c>
      <c r="C1411" s="4">
        <v>2.2917046394299409E-2</v>
      </c>
      <c r="D1411" t="s">
        <v>256</v>
      </c>
      <c r="E1411" t="s">
        <v>519</v>
      </c>
      <c r="F1411" t="s">
        <v>526</v>
      </c>
      <c r="G1411" t="s">
        <v>245</v>
      </c>
    </row>
    <row r="1412" spans="1:7" hidden="1" x14ac:dyDescent="0.2">
      <c r="A1412" t="s">
        <v>31</v>
      </c>
      <c r="B1412" t="s">
        <v>114</v>
      </c>
      <c r="C1412" s="4">
        <v>8.2348333592757934E-4</v>
      </c>
      <c r="D1412" t="s">
        <v>256</v>
      </c>
      <c r="E1412" t="s">
        <v>519</v>
      </c>
      <c r="F1412" t="s">
        <v>526</v>
      </c>
      <c r="G1412" t="s">
        <v>245</v>
      </c>
    </row>
    <row r="1413" spans="1:7" hidden="1" x14ac:dyDescent="0.2">
      <c r="A1413" t="s">
        <v>31</v>
      </c>
      <c r="B1413" t="s">
        <v>115</v>
      </c>
      <c r="C1413" s="4">
        <v>1.6844329555743341E-3</v>
      </c>
      <c r="D1413" t="s">
        <v>256</v>
      </c>
      <c r="E1413" t="s">
        <v>519</v>
      </c>
      <c r="F1413" t="s">
        <v>526</v>
      </c>
      <c r="G1413" t="s">
        <v>245</v>
      </c>
    </row>
    <row r="1414" spans="1:7" hidden="1" x14ac:dyDescent="0.2">
      <c r="A1414" t="s">
        <v>32</v>
      </c>
      <c r="B1414" t="s">
        <v>183</v>
      </c>
      <c r="C1414" s="4">
        <v>1.0480653387665039E-3</v>
      </c>
      <c r="D1414" t="s">
        <v>256</v>
      </c>
      <c r="E1414" t="s">
        <v>594</v>
      </c>
      <c r="F1414" t="s">
        <v>595</v>
      </c>
      <c r="G1414" t="s">
        <v>245</v>
      </c>
    </row>
    <row r="1415" spans="1:7" hidden="1" x14ac:dyDescent="0.2">
      <c r="A1415" t="s">
        <v>32</v>
      </c>
      <c r="B1415" t="s">
        <v>124</v>
      </c>
      <c r="C1415" s="4">
        <v>2.3577103183334818E-3</v>
      </c>
      <c r="D1415" t="s">
        <v>256</v>
      </c>
      <c r="E1415" t="s">
        <v>594</v>
      </c>
      <c r="F1415" t="s">
        <v>595</v>
      </c>
      <c r="G1415" t="s">
        <v>245</v>
      </c>
    </row>
    <row r="1416" spans="1:7" hidden="1" x14ac:dyDescent="0.2">
      <c r="A1416" t="s">
        <v>32</v>
      </c>
      <c r="B1416" t="s">
        <v>83</v>
      </c>
      <c r="C1416" s="4">
        <v>2.7371973097451881E-3</v>
      </c>
      <c r="D1416" t="s">
        <v>256</v>
      </c>
      <c r="E1416" t="s">
        <v>594</v>
      </c>
      <c r="F1416" t="s">
        <v>595</v>
      </c>
      <c r="G1416" t="s">
        <v>245</v>
      </c>
    </row>
    <row r="1417" spans="1:7" hidden="1" x14ac:dyDescent="0.2">
      <c r="A1417" t="s">
        <v>32</v>
      </c>
      <c r="B1417" t="s">
        <v>181</v>
      </c>
      <c r="C1417" s="4">
        <v>4.1855653820683427E-3</v>
      </c>
      <c r="D1417" t="s">
        <v>256</v>
      </c>
      <c r="E1417" t="s">
        <v>594</v>
      </c>
      <c r="F1417" t="s">
        <v>595</v>
      </c>
      <c r="G1417" t="s">
        <v>245</v>
      </c>
    </row>
    <row r="1418" spans="1:7" hidden="1" x14ac:dyDescent="0.2">
      <c r="A1418" t="s">
        <v>32</v>
      </c>
      <c r="B1418" t="s">
        <v>125</v>
      </c>
      <c r="C1418" s="4">
        <v>2.0087918993024669E-7</v>
      </c>
      <c r="D1418" t="s">
        <v>256</v>
      </c>
      <c r="E1418" t="s">
        <v>594</v>
      </c>
      <c r="F1418" t="s">
        <v>595</v>
      </c>
      <c r="G1418" t="s">
        <v>245</v>
      </c>
    </row>
    <row r="1419" spans="1:7" hidden="1" x14ac:dyDescent="0.2">
      <c r="A1419" t="s">
        <v>32</v>
      </c>
      <c r="B1419" t="s">
        <v>126</v>
      </c>
      <c r="C1419" s="4">
        <v>1.0349645220319231E-3</v>
      </c>
      <c r="D1419" t="s">
        <v>256</v>
      </c>
      <c r="E1419" t="s">
        <v>594</v>
      </c>
      <c r="F1419" t="s">
        <v>595</v>
      </c>
      <c r="G1419" t="s">
        <v>245</v>
      </c>
    </row>
    <row r="1420" spans="1:7" hidden="1" x14ac:dyDescent="0.2">
      <c r="A1420" t="s">
        <v>32</v>
      </c>
      <c r="B1420" t="s">
        <v>163</v>
      </c>
      <c r="C1420" s="4">
        <v>3.2548251353915329E-3</v>
      </c>
      <c r="D1420" t="s">
        <v>335</v>
      </c>
      <c r="E1420" t="s">
        <v>594</v>
      </c>
      <c r="F1420" t="s">
        <v>595</v>
      </c>
      <c r="G1420" t="s">
        <v>245</v>
      </c>
    </row>
    <row r="1421" spans="1:7" hidden="1" x14ac:dyDescent="0.2">
      <c r="A1421" t="s">
        <v>32</v>
      </c>
      <c r="B1421" t="s">
        <v>84</v>
      </c>
      <c r="C1421" s="4">
        <v>5.753938391326567E-4</v>
      </c>
      <c r="D1421" t="s">
        <v>335</v>
      </c>
      <c r="E1421" t="s">
        <v>594</v>
      </c>
      <c r="F1421" t="s">
        <v>595</v>
      </c>
      <c r="G1421" t="s">
        <v>245</v>
      </c>
    </row>
    <row r="1422" spans="1:7" hidden="1" x14ac:dyDescent="0.2">
      <c r="A1422" t="s">
        <v>32</v>
      </c>
      <c r="B1422" t="s">
        <v>85</v>
      </c>
      <c r="C1422" s="4">
        <v>2.2447958345444299E-2</v>
      </c>
      <c r="D1422" t="s">
        <v>256</v>
      </c>
      <c r="E1422" t="s">
        <v>594</v>
      </c>
      <c r="F1422" t="s">
        <v>595</v>
      </c>
      <c r="G1422" t="s">
        <v>245</v>
      </c>
    </row>
    <row r="1423" spans="1:7" hidden="1" x14ac:dyDescent="0.2">
      <c r="A1423" t="s">
        <v>32</v>
      </c>
      <c r="B1423" t="s">
        <v>116</v>
      </c>
      <c r="C1423" s="4">
        <v>5.5189373963879509E-3</v>
      </c>
      <c r="D1423" t="s">
        <v>256</v>
      </c>
      <c r="E1423" t="s">
        <v>594</v>
      </c>
      <c r="F1423" t="s">
        <v>595</v>
      </c>
      <c r="G1423" t="s">
        <v>245</v>
      </c>
    </row>
    <row r="1424" spans="1:7" hidden="1" x14ac:dyDescent="0.2">
      <c r="A1424" t="s">
        <v>32</v>
      </c>
      <c r="B1424" t="s">
        <v>145</v>
      </c>
      <c r="C1424" s="4">
        <v>4.7876206933375459E-4</v>
      </c>
      <c r="D1424" t="s">
        <v>256</v>
      </c>
      <c r="E1424" t="s">
        <v>594</v>
      </c>
      <c r="F1424" t="s">
        <v>595</v>
      </c>
      <c r="G1424" t="s">
        <v>245</v>
      </c>
    </row>
    <row r="1425" spans="1:8" hidden="1" x14ac:dyDescent="0.2">
      <c r="A1425" t="s">
        <v>32</v>
      </c>
      <c r="B1425" t="s">
        <v>86</v>
      </c>
      <c r="C1425" s="4">
        <f>0.056281456328563*0.941794444922006/(0.056281456328563*0.941794444922006+0.0000893711852357033) * 59.105596743409%</f>
        <v>0.59006108207943131</v>
      </c>
      <c r="D1425" t="s">
        <v>256</v>
      </c>
      <c r="E1425" t="s">
        <v>594</v>
      </c>
      <c r="F1425" t="s">
        <v>595</v>
      </c>
      <c r="G1425" t="s">
        <v>245</v>
      </c>
      <c r="H1425" t="s">
        <v>607</v>
      </c>
    </row>
    <row r="1426" spans="1:8" hidden="1" x14ac:dyDescent="0.2">
      <c r="A1426" t="s">
        <v>32</v>
      </c>
      <c r="B1426" t="s">
        <v>86</v>
      </c>
      <c r="C1426" s="4">
        <f>0.0000893711852357033*0.941794444922006/(0.056281456328563*0.941794444922006+0.0000893711852357033) * 59.105596743409%</f>
        <v>9.3697750035187872E-4</v>
      </c>
      <c r="D1426" t="s">
        <v>254</v>
      </c>
      <c r="E1426" t="s">
        <v>568</v>
      </c>
      <c r="F1426" t="s">
        <v>595</v>
      </c>
      <c r="G1426" t="s">
        <v>245</v>
      </c>
    </row>
    <row r="1427" spans="1:8" hidden="1" x14ac:dyDescent="0.2">
      <c r="A1427" t="s">
        <v>32</v>
      </c>
      <c r="B1427" t="s">
        <v>87</v>
      </c>
      <c r="C1427" s="4">
        <v>1.441089840803944E-4</v>
      </c>
      <c r="D1427" t="s">
        <v>256</v>
      </c>
      <c r="E1427" t="s">
        <v>594</v>
      </c>
      <c r="F1427" t="s">
        <v>595</v>
      </c>
      <c r="G1427" t="s">
        <v>245</v>
      </c>
    </row>
    <row r="1428" spans="1:8" hidden="1" x14ac:dyDescent="0.2">
      <c r="A1428" t="s">
        <v>32</v>
      </c>
      <c r="B1428" t="s">
        <v>217</v>
      </c>
      <c r="C1428" s="4">
        <v>2.7258432685752171E-3</v>
      </c>
      <c r="D1428" t="s">
        <v>335</v>
      </c>
      <c r="E1428" t="s">
        <v>594</v>
      </c>
      <c r="F1428" t="s">
        <v>595</v>
      </c>
      <c r="G1428" t="s">
        <v>245</v>
      </c>
    </row>
    <row r="1429" spans="1:8" hidden="1" x14ac:dyDescent="0.2">
      <c r="A1429" t="s">
        <v>32</v>
      </c>
      <c r="B1429" t="s">
        <v>128</v>
      </c>
      <c r="C1429" s="4">
        <v>3.6536722226443419E-3</v>
      </c>
      <c r="D1429" t="s">
        <v>256</v>
      </c>
      <c r="E1429" t="s">
        <v>594</v>
      </c>
      <c r="F1429" t="s">
        <v>595</v>
      </c>
      <c r="G1429" t="s">
        <v>245</v>
      </c>
    </row>
    <row r="1430" spans="1:8" hidden="1" x14ac:dyDescent="0.2">
      <c r="A1430" t="s">
        <v>32</v>
      </c>
      <c r="B1430" t="s">
        <v>154</v>
      </c>
      <c r="C1430" s="4">
        <v>1.746775564610841E-3</v>
      </c>
      <c r="D1430" t="s">
        <v>335</v>
      </c>
      <c r="E1430" t="s">
        <v>594</v>
      </c>
      <c r="F1430" t="s">
        <v>595</v>
      </c>
      <c r="G1430" t="s">
        <v>245</v>
      </c>
    </row>
    <row r="1431" spans="1:8" hidden="1" x14ac:dyDescent="0.2">
      <c r="A1431" t="s">
        <v>32</v>
      </c>
      <c r="B1431" t="s">
        <v>91</v>
      </c>
      <c r="C1431" s="4">
        <v>7.0278730190737916E-3</v>
      </c>
      <c r="D1431" t="s">
        <v>335</v>
      </c>
      <c r="E1431" t="s">
        <v>594</v>
      </c>
      <c r="F1431" t="s">
        <v>595</v>
      </c>
      <c r="G1431" t="s">
        <v>245</v>
      </c>
    </row>
    <row r="1432" spans="1:8" hidden="1" x14ac:dyDescent="0.2">
      <c r="A1432" t="s">
        <v>32</v>
      </c>
      <c r="B1432" t="s">
        <v>117</v>
      </c>
      <c r="C1432" s="4">
        <v>1.9241751796601099E-2</v>
      </c>
      <c r="D1432" t="s">
        <v>335</v>
      </c>
      <c r="E1432" t="s">
        <v>594</v>
      </c>
      <c r="F1432" t="s">
        <v>595</v>
      </c>
      <c r="G1432" t="s">
        <v>245</v>
      </c>
    </row>
    <row r="1433" spans="1:8" hidden="1" x14ac:dyDescent="0.2">
      <c r="A1433" t="s">
        <v>32</v>
      </c>
      <c r="B1433" t="s">
        <v>96</v>
      </c>
      <c r="C1433" s="4">
        <v>7.8852360279141039E-4</v>
      </c>
      <c r="D1433" t="s">
        <v>335</v>
      </c>
      <c r="E1433" t="s">
        <v>594</v>
      </c>
      <c r="F1433" t="s">
        <v>595</v>
      </c>
      <c r="G1433" t="s">
        <v>245</v>
      </c>
    </row>
    <row r="1434" spans="1:8" hidden="1" x14ac:dyDescent="0.2">
      <c r="A1434" t="s">
        <v>32</v>
      </c>
      <c r="B1434" t="s">
        <v>97</v>
      </c>
      <c r="C1434" s="4">
        <v>7.7543734251986754E-2</v>
      </c>
      <c r="D1434" t="s">
        <v>309</v>
      </c>
      <c r="E1434" t="s">
        <v>594</v>
      </c>
      <c r="F1434" t="s">
        <v>595</v>
      </c>
      <c r="G1434" t="s">
        <v>245</v>
      </c>
    </row>
    <row r="1435" spans="1:8" hidden="1" x14ac:dyDescent="0.2">
      <c r="A1435" t="s">
        <v>32</v>
      </c>
      <c r="B1435" t="s">
        <v>98</v>
      </c>
      <c r="C1435" s="4">
        <v>2.1338319168025259E-3</v>
      </c>
      <c r="D1435" t="s">
        <v>256</v>
      </c>
      <c r="E1435" t="s">
        <v>594</v>
      </c>
      <c r="F1435" t="s">
        <v>595</v>
      </c>
      <c r="G1435" t="s">
        <v>245</v>
      </c>
    </row>
    <row r="1436" spans="1:8" hidden="1" x14ac:dyDescent="0.2">
      <c r="A1436" t="s">
        <v>32</v>
      </c>
      <c r="B1436" t="s">
        <v>99</v>
      </c>
      <c r="C1436" s="4">
        <v>2.1338901426546798E-2</v>
      </c>
      <c r="D1436" t="s">
        <v>256</v>
      </c>
      <c r="E1436" t="s">
        <v>594</v>
      </c>
      <c r="F1436" t="s">
        <v>595</v>
      </c>
      <c r="G1436" t="s">
        <v>245</v>
      </c>
    </row>
    <row r="1437" spans="1:8" hidden="1" x14ac:dyDescent="0.2">
      <c r="A1437" t="s">
        <v>32</v>
      </c>
      <c r="B1437" t="s">
        <v>182</v>
      </c>
      <c r="C1437" s="4">
        <v>3.1769480581359671E-3</v>
      </c>
      <c r="D1437" t="s">
        <v>335</v>
      </c>
      <c r="E1437" t="s">
        <v>594</v>
      </c>
      <c r="F1437" t="s">
        <v>595</v>
      </c>
      <c r="G1437" t="s">
        <v>245</v>
      </c>
    </row>
    <row r="1438" spans="1:8" hidden="1" x14ac:dyDescent="0.2">
      <c r="A1438" t="s">
        <v>32</v>
      </c>
      <c r="B1438" t="s">
        <v>119</v>
      </c>
      <c r="C1438" s="4">
        <v>5.2768571567798593E-2</v>
      </c>
      <c r="D1438" t="s">
        <v>256</v>
      </c>
      <c r="E1438" t="s">
        <v>594</v>
      </c>
      <c r="F1438" t="s">
        <v>595</v>
      </c>
      <c r="G1438" t="s">
        <v>245</v>
      </c>
    </row>
    <row r="1439" spans="1:8" hidden="1" x14ac:dyDescent="0.2">
      <c r="A1439" t="s">
        <v>32</v>
      </c>
      <c r="B1439" t="s">
        <v>102</v>
      </c>
      <c r="C1439" s="4">
        <v>2.4724619733226139E-3</v>
      </c>
      <c r="D1439" t="s">
        <v>256</v>
      </c>
      <c r="E1439" t="s">
        <v>594</v>
      </c>
      <c r="F1439" t="s">
        <v>595</v>
      </c>
      <c r="G1439" t="s">
        <v>245</v>
      </c>
    </row>
    <row r="1440" spans="1:8" hidden="1" x14ac:dyDescent="0.2">
      <c r="A1440" t="s">
        <v>32</v>
      </c>
      <c r="B1440" t="s">
        <v>148</v>
      </c>
      <c r="C1440" s="4">
        <v>3.3995746038456183E-2</v>
      </c>
      <c r="D1440" t="s">
        <v>256</v>
      </c>
      <c r="E1440" t="s">
        <v>594</v>
      </c>
      <c r="F1440" t="s">
        <v>595</v>
      </c>
      <c r="G1440" t="s">
        <v>245</v>
      </c>
    </row>
    <row r="1441" spans="1:7" hidden="1" x14ac:dyDescent="0.2">
      <c r="A1441" t="s">
        <v>32</v>
      </c>
      <c r="B1441" t="s">
        <v>149</v>
      </c>
      <c r="C1441" s="4">
        <v>1.2372993582660121E-4</v>
      </c>
      <c r="D1441" t="s">
        <v>256</v>
      </c>
      <c r="E1441" t="s">
        <v>594</v>
      </c>
      <c r="F1441" t="s">
        <v>595</v>
      </c>
      <c r="G1441" t="s">
        <v>245</v>
      </c>
    </row>
    <row r="1442" spans="1:7" hidden="1" x14ac:dyDescent="0.2">
      <c r="A1442" t="s">
        <v>32</v>
      </c>
      <c r="B1442" t="s">
        <v>218</v>
      </c>
      <c r="C1442" s="4">
        <v>5.5150639215734262E-4</v>
      </c>
      <c r="D1442" t="s">
        <v>256</v>
      </c>
      <c r="E1442" t="s">
        <v>594</v>
      </c>
      <c r="F1442" t="s">
        <v>595</v>
      </c>
      <c r="G1442" t="s">
        <v>245</v>
      </c>
    </row>
    <row r="1443" spans="1:7" hidden="1" x14ac:dyDescent="0.2">
      <c r="A1443" t="s">
        <v>32</v>
      </c>
      <c r="B1443" t="s">
        <v>103</v>
      </c>
      <c r="C1443" s="4">
        <v>1.1716497099627219E-3</v>
      </c>
      <c r="D1443" t="s">
        <v>256</v>
      </c>
      <c r="E1443" t="s">
        <v>594</v>
      </c>
      <c r="F1443" t="s">
        <v>595</v>
      </c>
      <c r="G1443" t="s">
        <v>245</v>
      </c>
    </row>
    <row r="1444" spans="1:7" hidden="1" x14ac:dyDescent="0.2">
      <c r="A1444" t="s">
        <v>32</v>
      </c>
      <c r="B1444" t="s">
        <v>150</v>
      </c>
      <c r="C1444" s="4">
        <v>6.7961214633792443E-3</v>
      </c>
      <c r="D1444" t="s">
        <v>256</v>
      </c>
      <c r="E1444" t="s">
        <v>594</v>
      </c>
      <c r="F1444" t="s">
        <v>595</v>
      </c>
      <c r="G1444" t="s">
        <v>245</v>
      </c>
    </row>
    <row r="1445" spans="1:7" hidden="1" x14ac:dyDescent="0.2">
      <c r="A1445" t="s">
        <v>32</v>
      </c>
      <c r="B1445" t="s">
        <v>130</v>
      </c>
      <c r="C1445" s="4">
        <v>4.293428773183062E-3</v>
      </c>
      <c r="D1445" t="s">
        <v>335</v>
      </c>
      <c r="E1445" t="s">
        <v>594</v>
      </c>
      <c r="F1445" t="s">
        <v>595</v>
      </c>
      <c r="G1445" t="s">
        <v>245</v>
      </c>
    </row>
    <row r="1446" spans="1:7" hidden="1" x14ac:dyDescent="0.2">
      <c r="A1446" t="s">
        <v>32</v>
      </c>
      <c r="B1446" t="s">
        <v>131</v>
      </c>
      <c r="C1446" s="4">
        <v>4.883693349391142E-4</v>
      </c>
      <c r="D1446" t="s">
        <v>256</v>
      </c>
      <c r="E1446" t="s">
        <v>594</v>
      </c>
      <c r="F1446" t="s">
        <v>595</v>
      </c>
      <c r="G1446" t="s">
        <v>245</v>
      </c>
    </row>
    <row r="1447" spans="1:7" hidden="1" x14ac:dyDescent="0.2">
      <c r="A1447" t="s">
        <v>32</v>
      </c>
      <c r="B1447" t="s">
        <v>132</v>
      </c>
      <c r="C1447" s="4">
        <v>5.3436775814053301E-5</v>
      </c>
      <c r="D1447" t="s">
        <v>335</v>
      </c>
      <c r="E1447" t="s">
        <v>594</v>
      </c>
      <c r="F1447" t="s">
        <v>595</v>
      </c>
      <c r="G1447" t="s">
        <v>245</v>
      </c>
    </row>
    <row r="1448" spans="1:7" hidden="1" x14ac:dyDescent="0.2">
      <c r="A1448" t="s">
        <v>32</v>
      </c>
      <c r="B1448" t="s">
        <v>133</v>
      </c>
      <c r="C1448" s="4">
        <v>1.2046928810599429E-3</v>
      </c>
      <c r="D1448" t="s">
        <v>256</v>
      </c>
      <c r="E1448" t="s">
        <v>594</v>
      </c>
      <c r="F1448" t="s">
        <v>595</v>
      </c>
      <c r="G1448" t="s">
        <v>245</v>
      </c>
    </row>
    <row r="1449" spans="1:7" hidden="1" x14ac:dyDescent="0.2">
      <c r="A1449" t="s">
        <v>32</v>
      </c>
      <c r="B1449" t="s">
        <v>219</v>
      </c>
      <c r="C1449" s="4">
        <v>2.8676232185694639E-5</v>
      </c>
      <c r="D1449" t="s">
        <v>256</v>
      </c>
      <c r="E1449" t="s">
        <v>594</v>
      </c>
      <c r="F1449" t="s">
        <v>595</v>
      </c>
      <c r="G1449" t="s">
        <v>245</v>
      </c>
    </row>
    <row r="1450" spans="1:7" hidden="1" x14ac:dyDescent="0.2">
      <c r="A1450" t="s">
        <v>32</v>
      </c>
      <c r="B1450" t="s">
        <v>151</v>
      </c>
      <c r="C1450" s="4">
        <v>3.098450438861072E-3</v>
      </c>
      <c r="D1450" t="s">
        <v>335</v>
      </c>
      <c r="E1450" t="s">
        <v>594</v>
      </c>
      <c r="F1450" t="s">
        <v>595</v>
      </c>
      <c r="G1450" t="s">
        <v>245</v>
      </c>
    </row>
    <row r="1451" spans="1:7" hidden="1" x14ac:dyDescent="0.2">
      <c r="A1451" t="s">
        <v>32</v>
      </c>
      <c r="B1451" t="s">
        <v>134</v>
      </c>
      <c r="C1451" s="4">
        <v>1.317151601991263E-3</v>
      </c>
      <c r="D1451" t="s">
        <v>256</v>
      </c>
      <c r="E1451" t="s">
        <v>594</v>
      </c>
      <c r="F1451" t="s">
        <v>595</v>
      </c>
      <c r="G1451" t="s">
        <v>245</v>
      </c>
    </row>
    <row r="1452" spans="1:7" hidden="1" x14ac:dyDescent="0.2">
      <c r="A1452" t="s">
        <v>32</v>
      </c>
      <c r="B1452" t="s">
        <v>120</v>
      </c>
      <c r="C1452" s="4">
        <v>1.4197585087381769E-3</v>
      </c>
      <c r="D1452" t="s">
        <v>335</v>
      </c>
      <c r="E1452" t="s">
        <v>594</v>
      </c>
      <c r="F1452" t="s">
        <v>595</v>
      </c>
      <c r="G1452" t="s">
        <v>245</v>
      </c>
    </row>
    <row r="1453" spans="1:7" hidden="1" x14ac:dyDescent="0.2">
      <c r="A1453" t="s">
        <v>32</v>
      </c>
      <c r="B1453" t="s">
        <v>107</v>
      </c>
      <c r="C1453" s="4">
        <v>3.7992368530285793E-2</v>
      </c>
      <c r="D1453" t="s">
        <v>335</v>
      </c>
      <c r="E1453" t="s">
        <v>594</v>
      </c>
      <c r="F1453" t="s">
        <v>595</v>
      </c>
      <c r="G1453" t="s">
        <v>245</v>
      </c>
    </row>
    <row r="1454" spans="1:7" hidden="1" x14ac:dyDescent="0.2">
      <c r="A1454" t="s">
        <v>32</v>
      </c>
      <c r="B1454" t="s">
        <v>108</v>
      </c>
      <c r="C1454" s="4">
        <v>3.7573142394779178E-3</v>
      </c>
      <c r="D1454" t="s">
        <v>256</v>
      </c>
      <c r="E1454" t="s">
        <v>594</v>
      </c>
      <c r="F1454" t="s">
        <v>595</v>
      </c>
      <c r="G1454" t="s">
        <v>245</v>
      </c>
    </row>
    <row r="1455" spans="1:7" hidden="1" x14ac:dyDescent="0.2">
      <c r="A1455" t="s">
        <v>32</v>
      </c>
      <c r="B1455" t="s">
        <v>179</v>
      </c>
      <c r="C1455" s="4">
        <v>1.093190374185618E-3</v>
      </c>
      <c r="D1455" t="s">
        <v>335</v>
      </c>
      <c r="E1455" t="s">
        <v>594</v>
      </c>
      <c r="F1455" t="s">
        <v>595</v>
      </c>
      <c r="G1455" t="s">
        <v>245</v>
      </c>
    </row>
    <row r="1456" spans="1:7" hidden="1" x14ac:dyDescent="0.2">
      <c r="A1456" t="s">
        <v>32</v>
      </c>
      <c r="B1456" t="s">
        <v>135</v>
      </c>
      <c r="C1456" s="4">
        <v>2.5336979564680251E-3</v>
      </c>
      <c r="D1456" t="s">
        <v>335</v>
      </c>
      <c r="E1456" t="s">
        <v>594</v>
      </c>
      <c r="F1456" t="s">
        <v>595</v>
      </c>
      <c r="G1456" t="s">
        <v>245</v>
      </c>
    </row>
    <row r="1457" spans="1:7" hidden="1" x14ac:dyDescent="0.2">
      <c r="A1457" t="s">
        <v>32</v>
      </c>
      <c r="B1457" t="s">
        <v>137</v>
      </c>
      <c r="C1457" s="4">
        <v>2.9952833994164388E-3</v>
      </c>
      <c r="D1457" t="s">
        <v>322</v>
      </c>
      <c r="E1457" t="s">
        <v>466</v>
      </c>
      <c r="F1457" t="s">
        <v>595</v>
      </c>
      <c r="G1457" t="s">
        <v>245</v>
      </c>
    </row>
    <row r="1458" spans="1:7" hidden="1" x14ac:dyDescent="0.2">
      <c r="A1458" t="s">
        <v>32</v>
      </c>
      <c r="B1458" t="s">
        <v>121</v>
      </c>
      <c r="C1458" s="4">
        <v>2.8766482256532859E-3</v>
      </c>
      <c r="D1458" t="s">
        <v>335</v>
      </c>
      <c r="E1458" t="s">
        <v>594</v>
      </c>
      <c r="F1458" t="s">
        <v>595</v>
      </c>
      <c r="G1458" t="s">
        <v>245</v>
      </c>
    </row>
    <row r="1459" spans="1:7" hidden="1" x14ac:dyDescent="0.2">
      <c r="A1459" t="s">
        <v>32</v>
      </c>
      <c r="B1459" t="s">
        <v>138</v>
      </c>
      <c r="C1459" s="4">
        <v>2.2000638236273542E-3</v>
      </c>
      <c r="D1459" t="s">
        <v>335</v>
      </c>
      <c r="E1459" t="s">
        <v>594</v>
      </c>
      <c r="F1459" t="s">
        <v>595</v>
      </c>
      <c r="G1459" t="s">
        <v>245</v>
      </c>
    </row>
    <row r="1460" spans="1:7" hidden="1" x14ac:dyDescent="0.2">
      <c r="A1460" t="s">
        <v>32</v>
      </c>
      <c r="B1460" t="s">
        <v>208</v>
      </c>
      <c r="C1460" s="4">
        <v>1.0526069552344929E-2</v>
      </c>
      <c r="D1460" t="s">
        <v>256</v>
      </c>
      <c r="E1460" t="s">
        <v>594</v>
      </c>
      <c r="F1460" t="s">
        <v>595</v>
      </c>
      <c r="G1460" t="s">
        <v>245</v>
      </c>
    </row>
    <row r="1461" spans="1:7" hidden="1" x14ac:dyDescent="0.2">
      <c r="A1461" t="s">
        <v>32</v>
      </c>
      <c r="B1461" t="s">
        <v>112</v>
      </c>
      <c r="C1461" s="4">
        <v>7.485661117509374E-3</v>
      </c>
      <c r="D1461" t="s">
        <v>256</v>
      </c>
      <c r="E1461" t="s">
        <v>594</v>
      </c>
      <c r="F1461" t="s">
        <v>595</v>
      </c>
      <c r="G1461" t="s">
        <v>245</v>
      </c>
    </row>
    <row r="1462" spans="1:7" hidden="1" x14ac:dyDescent="0.2">
      <c r="A1462" t="s">
        <v>32</v>
      </c>
      <c r="B1462" t="s">
        <v>113</v>
      </c>
      <c r="C1462" s="4">
        <v>1.6573115427766891E-2</v>
      </c>
      <c r="D1462" t="s">
        <v>256</v>
      </c>
      <c r="E1462" t="s">
        <v>594</v>
      </c>
      <c r="F1462" t="s">
        <v>595</v>
      </c>
      <c r="G1462" t="s">
        <v>245</v>
      </c>
    </row>
    <row r="1463" spans="1:7" hidden="1" x14ac:dyDescent="0.2">
      <c r="A1463" t="s">
        <v>32</v>
      </c>
      <c r="B1463" t="s">
        <v>122</v>
      </c>
      <c r="C1463" s="4">
        <v>1.482182735961414E-2</v>
      </c>
      <c r="D1463" t="s">
        <v>335</v>
      </c>
      <c r="E1463" t="s">
        <v>594</v>
      </c>
      <c r="F1463" t="s">
        <v>595</v>
      </c>
      <c r="G1463" t="s">
        <v>245</v>
      </c>
    </row>
    <row r="1464" spans="1:7" hidden="1" x14ac:dyDescent="0.2">
      <c r="A1464" t="s">
        <v>32</v>
      </c>
      <c r="B1464" t="s">
        <v>123</v>
      </c>
      <c r="C1464" s="4">
        <v>2.58988590379634E-3</v>
      </c>
      <c r="D1464" t="s">
        <v>256</v>
      </c>
      <c r="E1464" t="s">
        <v>594</v>
      </c>
      <c r="F1464" t="s">
        <v>595</v>
      </c>
      <c r="G1464" t="s">
        <v>245</v>
      </c>
    </row>
    <row r="1465" spans="1:7" hidden="1" x14ac:dyDescent="0.2">
      <c r="A1465" t="s">
        <v>32</v>
      </c>
      <c r="B1465" t="s">
        <v>140</v>
      </c>
      <c r="C1465" s="4">
        <v>4.1036416080880954E-3</v>
      </c>
      <c r="D1465" t="s">
        <v>335</v>
      </c>
      <c r="E1465" t="s">
        <v>594</v>
      </c>
      <c r="F1465" t="s">
        <v>595</v>
      </c>
      <c r="G1465" t="s">
        <v>245</v>
      </c>
    </row>
    <row r="1466" spans="1:7" hidden="1" x14ac:dyDescent="0.2">
      <c r="A1466" t="s">
        <v>32</v>
      </c>
      <c r="B1466" t="s">
        <v>114</v>
      </c>
      <c r="C1466" s="4">
        <v>2.7671836236043399E-4</v>
      </c>
      <c r="D1466" t="s">
        <v>256</v>
      </c>
      <c r="E1466" t="s">
        <v>594</v>
      </c>
      <c r="F1466" t="s">
        <v>595</v>
      </c>
      <c r="G1466" t="s">
        <v>245</v>
      </c>
    </row>
    <row r="1467" spans="1:7" hidden="1" x14ac:dyDescent="0.2">
      <c r="A1467" t="s">
        <v>32</v>
      </c>
      <c r="B1467" t="s">
        <v>115</v>
      </c>
      <c r="C1467" s="4">
        <v>6.1732504099650956E-3</v>
      </c>
      <c r="D1467" t="s">
        <v>256</v>
      </c>
      <c r="E1467" t="s">
        <v>594</v>
      </c>
      <c r="F1467" t="s">
        <v>595</v>
      </c>
      <c r="G1467" t="s">
        <v>245</v>
      </c>
    </row>
    <row r="1468" spans="1:7" hidden="1" x14ac:dyDescent="0.2">
      <c r="A1468" t="s">
        <v>33</v>
      </c>
      <c r="B1468" t="s">
        <v>183</v>
      </c>
      <c r="C1468" s="4">
        <v>1.4230533735279951E-3</v>
      </c>
      <c r="G1468" t="s">
        <v>279</v>
      </c>
    </row>
    <row r="1469" spans="1:7" hidden="1" x14ac:dyDescent="0.2">
      <c r="A1469" t="s">
        <v>33</v>
      </c>
      <c r="B1469" t="s">
        <v>184</v>
      </c>
      <c r="C1469" s="4">
        <v>1.4539775223236851E-4</v>
      </c>
      <c r="G1469" t="s">
        <v>279</v>
      </c>
    </row>
    <row r="1470" spans="1:7" hidden="1" x14ac:dyDescent="0.2">
      <c r="A1470" t="s">
        <v>33</v>
      </c>
      <c r="B1470" t="s">
        <v>124</v>
      </c>
      <c r="C1470" s="4">
        <v>2.490942681125916E-3</v>
      </c>
      <c r="G1470" t="s">
        <v>279</v>
      </c>
    </row>
    <row r="1471" spans="1:7" hidden="1" x14ac:dyDescent="0.2">
      <c r="A1471" t="s">
        <v>33</v>
      </c>
      <c r="B1471" t="s">
        <v>83</v>
      </c>
      <c r="C1471" s="4">
        <v>3.0288304894136829E-3</v>
      </c>
      <c r="G1471" t="s">
        <v>279</v>
      </c>
    </row>
    <row r="1472" spans="1:7" hidden="1" x14ac:dyDescent="0.2">
      <c r="A1472" t="s">
        <v>33</v>
      </c>
      <c r="B1472" t="s">
        <v>181</v>
      </c>
      <c r="C1472" s="4">
        <v>4.0286244958461382E-3</v>
      </c>
      <c r="G1472" t="s">
        <v>279</v>
      </c>
    </row>
    <row r="1473" spans="1:7" hidden="1" x14ac:dyDescent="0.2">
      <c r="A1473" t="s">
        <v>33</v>
      </c>
      <c r="B1473" t="s">
        <v>125</v>
      </c>
      <c r="C1473" s="4">
        <v>1.8048342340967681E-4</v>
      </c>
      <c r="G1473" t="s">
        <v>279</v>
      </c>
    </row>
    <row r="1474" spans="1:7" hidden="1" x14ac:dyDescent="0.2">
      <c r="A1474" t="s">
        <v>33</v>
      </c>
      <c r="B1474" t="s">
        <v>220</v>
      </c>
      <c r="C1474" s="4">
        <v>1.3750638688516351E-3</v>
      </c>
      <c r="G1474" t="s">
        <v>279</v>
      </c>
    </row>
    <row r="1475" spans="1:7" hidden="1" x14ac:dyDescent="0.2">
      <c r="A1475" t="s">
        <v>33</v>
      </c>
      <c r="B1475" t="s">
        <v>163</v>
      </c>
      <c r="C1475" s="4">
        <v>3.9726463612366767E-3</v>
      </c>
      <c r="G1475" t="s">
        <v>279</v>
      </c>
    </row>
    <row r="1476" spans="1:7" hidden="1" x14ac:dyDescent="0.2">
      <c r="A1476" t="s">
        <v>33</v>
      </c>
      <c r="B1476" t="s">
        <v>84</v>
      </c>
      <c r="C1476" s="4">
        <v>4.0446475451537162E-4</v>
      </c>
      <c r="G1476" t="s">
        <v>279</v>
      </c>
    </row>
    <row r="1477" spans="1:7" hidden="1" x14ac:dyDescent="0.2">
      <c r="A1477" t="s">
        <v>33</v>
      </c>
      <c r="B1477" t="s">
        <v>85</v>
      </c>
      <c r="C1477" s="4">
        <v>1.8468596097811849E-2</v>
      </c>
      <c r="G1477" t="s">
        <v>279</v>
      </c>
    </row>
    <row r="1478" spans="1:7" hidden="1" x14ac:dyDescent="0.2">
      <c r="A1478" t="s">
        <v>33</v>
      </c>
      <c r="B1478" t="s">
        <v>147</v>
      </c>
      <c r="C1478" s="4">
        <v>3.1637031804769919E-4</v>
      </c>
      <c r="G1478" t="s">
        <v>279</v>
      </c>
    </row>
    <row r="1479" spans="1:7" hidden="1" x14ac:dyDescent="0.2">
      <c r="A1479" t="s">
        <v>33</v>
      </c>
      <c r="B1479" t="s">
        <v>116</v>
      </c>
      <c r="C1479" s="4">
        <v>6.8788436121630294E-3</v>
      </c>
      <c r="G1479" t="s">
        <v>279</v>
      </c>
    </row>
    <row r="1480" spans="1:7" hidden="1" x14ac:dyDescent="0.2">
      <c r="A1480" t="s">
        <v>33</v>
      </c>
      <c r="B1480" t="s">
        <v>145</v>
      </c>
      <c r="C1480" s="4">
        <v>6.4224574288312638E-4</v>
      </c>
      <c r="G1480" t="s">
        <v>279</v>
      </c>
    </row>
    <row r="1481" spans="1:7" hidden="1" x14ac:dyDescent="0.2">
      <c r="A1481" t="s">
        <v>33</v>
      </c>
      <c r="B1481" t="s">
        <v>86</v>
      </c>
      <c r="C1481" s="4">
        <v>0.53099238499161794</v>
      </c>
      <c r="G1481" t="s">
        <v>279</v>
      </c>
    </row>
    <row r="1482" spans="1:7" hidden="1" x14ac:dyDescent="0.2">
      <c r="A1482" t="s">
        <v>33</v>
      </c>
      <c r="B1482" t="s">
        <v>87</v>
      </c>
      <c r="C1482" s="4">
        <v>6.8006000904206703E-4</v>
      </c>
      <c r="G1482" t="s">
        <v>279</v>
      </c>
    </row>
    <row r="1483" spans="1:7" hidden="1" x14ac:dyDescent="0.2">
      <c r="A1483" t="s">
        <v>33</v>
      </c>
      <c r="B1483" t="s">
        <v>159</v>
      </c>
      <c r="C1483" s="4">
        <v>1.6275867787205429E-5</v>
      </c>
      <c r="G1483" t="s">
        <v>279</v>
      </c>
    </row>
    <row r="1484" spans="1:7" hidden="1" x14ac:dyDescent="0.2">
      <c r="A1484" t="s">
        <v>33</v>
      </c>
      <c r="B1484" t="s">
        <v>88</v>
      </c>
      <c r="C1484" s="4">
        <v>4.7237125561450589E-5</v>
      </c>
      <c r="G1484" t="s">
        <v>279</v>
      </c>
    </row>
    <row r="1485" spans="1:7" hidden="1" x14ac:dyDescent="0.2">
      <c r="A1485" t="s">
        <v>33</v>
      </c>
      <c r="B1485" t="s">
        <v>160</v>
      </c>
      <c r="C1485" s="4">
        <v>1.1852086922642999E-4</v>
      </c>
      <c r="G1485" t="s">
        <v>279</v>
      </c>
    </row>
    <row r="1486" spans="1:7" hidden="1" x14ac:dyDescent="0.2">
      <c r="A1486" t="s">
        <v>33</v>
      </c>
      <c r="B1486" t="s">
        <v>217</v>
      </c>
      <c r="C1486" s="4">
        <v>2.3566371498020991E-3</v>
      </c>
      <c r="G1486" t="s">
        <v>279</v>
      </c>
    </row>
    <row r="1487" spans="1:7" hidden="1" x14ac:dyDescent="0.2">
      <c r="A1487" t="s">
        <v>33</v>
      </c>
      <c r="B1487" t="s">
        <v>89</v>
      </c>
      <c r="C1487" s="4">
        <v>3.2551735574410858E-5</v>
      </c>
      <c r="G1487" t="s">
        <v>279</v>
      </c>
    </row>
    <row r="1488" spans="1:7" hidden="1" x14ac:dyDescent="0.2">
      <c r="A1488" t="s">
        <v>33</v>
      </c>
      <c r="B1488" t="s">
        <v>167</v>
      </c>
      <c r="C1488" s="4">
        <v>3.0869895903066298E-4</v>
      </c>
      <c r="G1488" t="s">
        <v>279</v>
      </c>
    </row>
    <row r="1489" spans="1:7" hidden="1" x14ac:dyDescent="0.2">
      <c r="A1489" t="s">
        <v>33</v>
      </c>
      <c r="B1489" t="s">
        <v>128</v>
      </c>
      <c r="C1489" s="4">
        <v>4.3897208985730794E-3</v>
      </c>
      <c r="G1489" t="s">
        <v>279</v>
      </c>
    </row>
    <row r="1490" spans="1:7" hidden="1" x14ac:dyDescent="0.2">
      <c r="A1490" t="s">
        <v>33</v>
      </c>
      <c r="B1490" t="s">
        <v>221</v>
      </c>
      <c r="C1490" s="4">
        <v>5.2299788489553457E-5</v>
      </c>
      <c r="G1490" t="s">
        <v>279</v>
      </c>
    </row>
    <row r="1491" spans="1:7" hidden="1" x14ac:dyDescent="0.2">
      <c r="A1491" t="s">
        <v>33</v>
      </c>
      <c r="B1491" t="s">
        <v>154</v>
      </c>
      <c r="C1491" s="4">
        <v>2.107034130614215E-3</v>
      </c>
      <c r="G1491" t="s">
        <v>279</v>
      </c>
    </row>
    <row r="1492" spans="1:7" hidden="1" x14ac:dyDescent="0.2">
      <c r="A1492" t="s">
        <v>33</v>
      </c>
      <c r="B1492" t="s">
        <v>91</v>
      </c>
      <c r="C1492" s="4">
        <v>7.6913335215251163E-3</v>
      </c>
      <c r="G1492" t="s">
        <v>279</v>
      </c>
    </row>
    <row r="1493" spans="1:7" hidden="1" x14ac:dyDescent="0.2">
      <c r="A1493" t="s">
        <v>33</v>
      </c>
      <c r="B1493" t="s">
        <v>117</v>
      </c>
      <c r="C1493" s="4">
        <v>2.1815847664614418E-2</v>
      </c>
      <c r="G1493" t="s">
        <v>279</v>
      </c>
    </row>
    <row r="1494" spans="1:7" hidden="1" x14ac:dyDescent="0.2">
      <c r="A1494" t="s">
        <v>33</v>
      </c>
      <c r="B1494" t="s">
        <v>92</v>
      </c>
      <c r="C1494" s="4">
        <v>1.3563223156004531E-4</v>
      </c>
      <c r="G1494" t="s">
        <v>279</v>
      </c>
    </row>
    <row r="1495" spans="1:7" hidden="1" x14ac:dyDescent="0.2">
      <c r="A1495" t="s">
        <v>33</v>
      </c>
      <c r="B1495" t="s">
        <v>93</v>
      </c>
      <c r="C1495" s="4">
        <v>7.6843797112659251E-4</v>
      </c>
      <c r="G1495" t="s">
        <v>279</v>
      </c>
    </row>
    <row r="1496" spans="1:7" hidden="1" x14ac:dyDescent="0.2">
      <c r="A1496" t="s">
        <v>33</v>
      </c>
      <c r="B1496" t="s">
        <v>196</v>
      </c>
      <c r="C1496" s="4">
        <v>1.5719233108883011E-4</v>
      </c>
      <c r="G1496" t="s">
        <v>279</v>
      </c>
    </row>
    <row r="1497" spans="1:7" hidden="1" x14ac:dyDescent="0.2">
      <c r="A1497" t="s">
        <v>33</v>
      </c>
      <c r="B1497" t="s">
        <v>96</v>
      </c>
      <c r="C1497" s="4">
        <v>8.9742964862945802E-4</v>
      </c>
      <c r="G1497" t="s">
        <v>279</v>
      </c>
    </row>
    <row r="1498" spans="1:7" hidden="1" x14ac:dyDescent="0.2">
      <c r="A1498" t="s">
        <v>33</v>
      </c>
      <c r="B1498" t="s">
        <v>97</v>
      </c>
      <c r="C1498" s="4">
        <v>5.8087053051542721E-2</v>
      </c>
      <c r="G1498" t="s">
        <v>279</v>
      </c>
    </row>
    <row r="1499" spans="1:7" hidden="1" x14ac:dyDescent="0.2">
      <c r="A1499" t="s">
        <v>33</v>
      </c>
      <c r="B1499" t="s">
        <v>98</v>
      </c>
      <c r="C1499" s="4">
        <v>5.1121741179115526E-3</v>
      </c>
      <c r="G1499" t="s">
        <v>279</v>
      </c>
    </row>
    <row r="1500" spans="1:7" hidden="1" x14ac:dyDescent="0.2">
      <c r="A1500" t="s">
        <v>33</v>
      </c>
      <c r="B1500" t="s">
        <v>99</v>
      </c>
      <c r="C1500" s="4">
        <v>1.111145399300935E-2</v>
      </c>
      <c r="G1500" t="s">
        <v>279</v>
      </c>
    </row>
    <row r="1501" spans="1:7" hidden="1" x14ac:dyDescent="0.2">
      <c r="A1501" t="s">
        <v>33</v>
      </c>
      <c r="B1501" t="s">
        <v>222</v>
      </c>
      <c r="C1501" s="4">
        <v>1.6275867787205429E-4</v>
      </c>
      <c r="G1501" t="s">
        <v>279</v>
      </c>
    </row>
    <row r="1502" spans="1:7" hidden="1" x14ac:dyDescent="0.2">
      <c r="A1502" t="s">
        <v>33</v>
      </c>
      <c r="B1502" t="s">
        <v>182</v>
      </c>
      <c r="C1502" s="4">
        <v>1.26392963946175E-2</v>
      </c>
      <c r="G1502" t="s">
        <v>279</v>
      </c>
    </row>
    <row r="1503" spans="1:7" hidden="1" x14ac:dyDescent="0.2">
      <c r="A1503" t="s">
        <v>33</v>
      </c>
      <c r="B1503" t="s">
        <v>119</v>
      </c>
      <c r="C1503" s="4">
        <v>5.2894759238356077E-2</v>
      </c>
      <c r="G1503" t="s">
        <v>279</v>
      </c>
    </row>
    <row r="1504" spans="1:7" hidden="1" x14ac:dyDescent="0.2">
      <c r="A1504" t="s">
        <v>33</v>
      </c>
      <c r="B1504" t="s">
        <v>223</v>
      </c>
      <c r="C1504" s="4">
        <v>1.877150084791027E-4</v>
      </c>
      <c r="G1504" t="s">
        <v>279</v>
      </c>
    </row>
    <row r="1505" spans="1:7" hidden="1" x14ac:dyDescent="0.2">
      <c r="A1505" t="s">
        <v>33</v>
      </c>
      <c r="B1505" t="s">
        <v>102</v>
      </c>
      <c r="C1505" s="4">
        <v>2.3143269464314061E-3</v>
      </c>
      <c r="G1505" t="s">
        <v>279</v>
      </c>
    </row>
    <row r="1506" spans="1:7" hidden="1" x14ac:dyDescent="0.2">
      <c r="A1506" t="s">
        <v>33</v>
      </c>
      <c r="B1506" t="s">
        <v>198</v>
      </c>
      <c r="C1506" s="4">
        <v>2.164690415698323E-4</v>
      </c>
      <c r="G1506" t="s">
        <v>279</v>
      </c>
    </row>
    <row r="1507" spans="1:7" hidden="1" x14ac:dyDescent="0.2">
      <c r="A1507" t="s">
        <v>33</v>
      </c>
      <c r="B1507" t="s">
        <v>148</v>
      </c>
      <c r="C1507" s="4">
        <v>3.8243406539596597E-2</v>
      </c>
      <c r="G1507" t="s">
        <v>279</v>
      </c>
    </row>
    <row r="1508" spans="1:7" hidden="1" x14ac:dyDescent="0.2">
      <c r="A1508" t="s">
        <v>33</v>
      </c>
      <c r="B1508" t="s">
        <v>149</v>
      </c>
      <c r="C1508" s="4">
        <v>4.448737195169485E-4</v>
      </c>
      <c r="G1508" t="s">
        <v>279</v>
      </c>
    </row>
    <row r="1509" spans="1:7" hidden="1" x14ac:dyDescent="0.2">
      <c r="A1509" t="s">
        <v>33</v>
      </c>
      <c r="B1509" t="s">
        <v>224</v>
      </c>
      <c r="C1509" s="4">
        <v>5.6097490973234729E-4</v>
      </c>
      <c r="G1509" t="s">
        <v>279</v>
      </c>
    </row>
    <row r="1510" spans="1:7" hidden="1" x14ac:dyDescent="0.2">
      <c r="A1510" t="s">
        <v>33</v>
      </c>
      <c r="B1510" t="s">
        <v>218</v>
      </c>
      <c r="C1510" s="4">
        <v>2.8363618424828642E-4</v>
      </c>
      <c r="G1510" t="s">
        <v>279</v>
      </c>
    </row>
    <row r="1511" spans="1:7" hidden="1" x14ac:dyDescent="0.2">
      <c r="A1511" t="s">
        <v>33</v>
      </c>
      <c r="B1511" t="s">
        <v>225</v>
      </c>
      <c r="C1511" s="4">
        <v>1.1369236178289241E-3</v>
      </c>
      <c r="G1511" t="s">
        <v>279</v>
      </c>
    </row>
    <row r="1512" spans="1:7" hidden="1" x14ac:dyDescent="0.2">
      <c r="A1512" t="s">
        <v>33</v>
      </c>
      <c r="B1512" t="s">
        <v>103</v>
      </c>
      <c r="C1512" s="4">
        <v>3.0758739321484659E-3</v>
      </c>
      <c r="G1512" t="s">
        <v>279</v>
      </c>
    </row>
    <row r="1513" spans="1:7" hidden="1" x14ac:dyDescent="0.2">
      <c r="A1513" t="s">
        <v>33</v>
      </c>
      <c r="B1513" t="s">
        <v>172</v>
      </c>
      <c r="C1513" s="4">
        <v>2.7126446312009059E-6</v>
      </c>
      <c r="G1513" t="s">
        <v>279</v>
      </c>
    </row>
    <row r="1514" spans="1:7" hidden="1" x14ac:dyDescent="0.2">
      <c r="A1514" t="s">
        <v>33</v>
      </c>
      <c r="B1514" t="s">
        <v>150</v>
      </c>
      <c r="C1514" s="4">
        <v>1.02411015290654E-2</v>
      </c>
      <c r="G1514" t="s">
        <v>279</v>
      </c>
    </row>
    <row r="1515" spans="1:7" hidden="1" x14ac:dyDescent="0.2">
      <c r="A1515" t="s">
        <v>33</v>
      </c>
      <c r="B1515" t="s">
        <v>226</v>
      </c>
      <c r="C1515" s="4">
        <v>2.5968689583412511E-4</v>
      </c>
      <c r="G1515" t="s">
        <v>279</v>
      </c>
    </row>
    <row r="1516" spans="1:7" hidden="1" x14ac:dyDescent="0.2">
      <c r="A1516" t="s">
        <v>33</v>
      </c>
      <c r="B1516" t="s">
        <v>173</v>
      </c>
      <c r="C1516" s="4">
        <v>2.7126446312009059E-5</v>
      </c>
      <c r="G1516" t="s">
        <v>279</v>
      </c>
    </row>
    <row r="1517" spans="1:7" hidden="1" x14ac:dyDescent="0.2">
      <c r="A1517" t="s">
        <v>33</v>
      </c>
      <c r="B1517" t="s">
        <v>104</v>
      </c>
      <c r="C1517" s="4">
        <v>1.094367648854644E-5</v>
      </c>
      <c r="G1517" t="s">
        <v>279</v>
      </c>
    </row>
    <row r="1518" spans="1:7" hidden="1" x14ac:dyDescent="0.2">
      <c r="A1518" t="s">
        <v>33</v>
      </c>
      <c r="B1518" t="s">
        <v>161</v>
      </c>
      <c r="C1518" s="4">
        <v>2.5932882674280661E-4</v>
      </c>
      <c r="G1518" t="s">
        <v>279</v>
      </c>
    </row>
    <row r="1519" spans="1:7" hidden="1" x14ac:dyDescent="0.2">
      <c r="A1519" t="s">
        <v>33</v>
      </c>
      <c r="B1519" t="s">
        <v>174</v>
      </c>
      <c r="C1519" s="4">
        <v>1.7903454565925981E-4</v>
      </c>
      <c r="G1519" t="s">
        <v>279</v>
      </c>
    </row>
    <row r="1520" spans="1:7" hidden="1" x14ac:dyDescent="0.2">
      <c r="A1520" t="s">
        <v>33</v>
      </c>
      <c r="B1520" t="s">
        <v>130</v>
      </c>
      <c r="C1520" s="4">
        <v>3.5725855310271672E-3</v>
      </c>
      <c r="G1520" t="s">
        <v>279</v>
      </c>
    </row>
    <row r="1521" spans="1:7" hidden="1" x14ac:dyDescent="0.2">
      <c r="A1521" t="s">
        <v>33</v>
      </c>
      <c r="B1521" t="s">
        <v>131</v>
      </c>
      <c r="C1521" s="4">
        <v>3.480648579186506E-4</v>
      </c>
      <c r="G1521" t="s">
        <v>279</v>
      </c>
    </row>
    <row r="1522" spans="1:7" hidden="1" x14ac:dyDescent="0.2">
      <c r="A1522" t="s">
        <v>33</v>
      </c>
      <c r="B1522" t="s">
        <v>203</v>
      </c>
      <c r="C1522" s="4">
        <v>3.4721851279371591E-4</v>
      </c>
      <c r="G1522" t="s">
        <v>279</v>
      </c>
    </row>
    <row r="1523" spans="1:7" hidden="1" x14ac:dyDescent="0.2">
      <c r="A1523" t="s">
        <v>33</v>
      </c>
      <c r="B1523" t="s">
        <v>176</v>
      </c>
      <c r="C1523" s="4">
        <v>1.422966568899797E-4</v>
      </c>
      <c r="G1523" t="s">
        <v>279</v>
      </c>
    </row>
    <row r="1524" spans="1:7" hidden="1" x14ac:dyDescent="0.2">
      <c r="A1524" t="s">
        <v>33</v>
      </c>
      <c r="B1524" t="s">
        <v>132</v>
      </c>
      <c r="C1524" s="4">
        <v>3.3037841492322071E-4</v>
      </c>
      <c r="G1524" t="s">
        <v>279</v>
      </c>
    </row>
    <row r="1525" spans="1:7" hidden="1" x14ac:dyDescent="0.2">
      <c r="A1525" t="s">
        <v>33</v>
      </c>
      <c r="B1525" t="s">
        <v>106</v>
      </c>
      <c r="C1525" s="4">
        <v>2.3952326576148252E-3</v>
      </c>
      <c r="G1525" t="s">
        <v>279</v>
      </c>
    </row>
    <row r="1526" spans="1:7" hidden="1" x14ac:dyDescent="0.2">
      <c r="A1526" t="s">
        <v>33</v>
      </c>
      <c r="B1526" t="s">
        <v>219</v>
      </c>
      <c r="C1526" s="4">
        <v>1.3584924313054129E-5</v>
      </c>
      <c r="G1526" t="s">
        <v>279</v>
      </c>
    </row>
    <row r="1527" spans="1:7" hidden="1" x14ac:dyDescent="0.2">
      <c r="A1527" t="s">
        <v>33</v>
      </c>
      <c r="B1527" t="s">
        <v>146</v>
      </c>
      <c r="C1527" s="4">
        <v>6.0969400730871552E-4</v>
      </c>
      <c r="G1527" t="s">
        <v>279</v>
      </c>
    </row>
    <row r="1528" spans="1:7" hidden="1" x14ac:dyDescent="0.2">
      <c r="A1528" t="s">
        <v>33</v>
      </c>
      <c r="B1528" t="s">
        <v>156</v>
      </c>
      <c r="C1528" s="4">
        <v>8.0942060621477579E-4</v>
      </c>
      <c r="G1528" t="s">
        <v>279</v>
      </c>
    </row>
    <row r="1529" spans="1:7" hidden="1" x14ac:dyDescent="0.2">
      <c r="A1529" t="s">
        <v>33</v>
      </c>
      <c r="B1529" t="s">
        <v>151</v>
      </c>
      <c r="C1529" s="4">
        <v>5.0355744588157017E-3</v>
      </c>
      <c r="G1529" t="s">
        <v>279</v>
      </c>
    </row>
    <row r="1530" spans="1:7" hidden="1" x14ac:dyDescent="0.2">
      <c r="A1530" t="s">
        <v>33</v>
      </c>
      <c r="B1530" t="s">
        <v>178</v>
      </c>
      <c r="C1530" s="4">
        <v>1.13711892824237E-3</v>
      </c>
      <c r="G1530" t="s">
        <v>279</v>
      </c>
    </row>
    <row r="1531" spans="1:7" hidden="1" x14ac:dyDescent="0.2">
      <c r="A1531" t="s">
        <v>33</v>
      </c>
      <c r="B1531" t="s">
        <v>134</v>
      </c>
      <c r="C1531" s="4">
        <v>1.0848299903313411E-3</v>
      </c>
      <c r="G1531" t="s">
        <v>279</v>
      </c>
    </row>
    <row r="1532" spans="1:7" hidden="1" x14ac:dyDescent="0.2">
      <c r="A1532" t="s">
        <v>33</v>
      </c>
      <c r="B1532" t="s">
        <v>120</v>
      </c>
      <c r="C1532" s="4">
        <v>1.799800325201756E-3</v>
      </c>
      <c r="G1532" t="s">
        <v>279</v>
      </c>
    </row>
    <row r="1533" spans="1:7" hidden="1" x14ac:dyDescent="0.2">
      <c r="A1533" t="s">
        <v>33</v>
      </c>
      <c r="B1533" t="s">
        <v>107</v>
      </c>
      <c r="C1533" s="4">
        <v>4.0505513883313762E-2</v>
      </c>
      <c r="G1533" t="s">
        <v>279</v>
      </c>
    </row>
    <row r="1534" spans="1:7" hidden="1" x14ac:dyDescent="0.2">
      <c r="A1534" t="s">
        <v>33</v>
      </c>
      <c r="B1534" t="s">
        <v>108</v>
      </c>
      <c r="C1534" s="4">
        <v>4.0927731160847773E-3</v>
      </c>
      <c r="G1534" t="s">
        <v>279</v>
      </c>
    </row>
    <row r="1535" spans="1:7" hidden="1" x14ac:dyDescent="0.2">
      <c r="A1535" t="s">
        <v>33</v>
      </c>
      <c r="B1535" t="s">
        <v>179</v>
      </c>
      <c r="C1535" s="4">
        <v>9.2258128964995279E-4</v>
      </c>
      <c r="G1535" t="s">
        <v>279</v>
      </c>
    </row>
    <row r="1536" spans="1:7" hidden="1" x14ac:dyDescent="0.2">
      <c r="A1536" t="s">
        <v>33</v>
      </c>
      <c r="B1536" t="s">
        <v>227</v>
      </c>
      <c r="C1536" s="4">
        <v>3.2089500929254229E-4</v>
      </c>
      <c r="G1536" t="s">
        <v>279</v>
      </c>
    </row>
    <row r="1537" spans="1:7" hidden="1" x14ac:dyDescent="0.2">
      <c r="A1537" t="s">
        <v>33</v>
      </c>
      <c r="B1537" t="s">
        <v>135</v>
      </c>
      <c r="C1537" s="4">
        <v>2.4050307300227231E-3</v>
      </c>
      <c r="G1537" t="s">
        <v>279</v>
      </c>
    </row>
    <row r="1538" spans="1:7" hidden="1" x14ac:dyDescent="0.2">
      <c r="A1538" t="s">
        <v>33</v>
      </c>
      <c r="B1538" t="s">
        <v>136</v>
      </c>
      <c r="C1538" s="4">
        <v>3.442346036993949E-4</v>
      </c>
      <c r="G1538" t="s">
        <v>279</v>
      </c>
    </row>
    <row r="1539" spans="1:7" hidden="1" x14ac:dyDescent="0.2">
      <c r="A1539" t="s">
        <v>33</v>
      </c>
      <c r="B1539" t="s">
        <v>137</v>
      </c>
      <c r="C1539" s="4">
        <v>3.0030278136816998E-3</v>
      </c>
      <c r="G1539" t="s">
        <v>279</v>
      </c>
    </row>
    <row r="1540" spans="1:7" hidden="1" x14ac:dyDescent="0.2">
      <c r="A1540" t="s">
        <v>33</v>
      </c>
      <c r="B1540" t="s">
        <v>121</v>
      </c>
      <c r="C1540" s="4">
        <v>7.3277103445771059E-3</v>
      </c>
      <c r="G1540" t="s">
        <v>279</v>
      </c>
    </row>
    <row r="1541" spans="1:7" hidden="1" x14ac:dyDescent="0.2">
      <c r="A1541" t="s">
        <v>33</v>
      </c>
      <c r="B1541" t="s">
        <v>211</v>
      </c>
      <c r="C1541" s="4">
        <v>1.6275867787205429E-5</v>
      </c>
      <c r="G1541" t="s">
        <v>279</v>
      </c>
    </row>
    <row r="1542" spans="1:7" hidden="1" x14ac:dyDescent="0.2">
      <c r="A1542" t="s">
        <v>33</v>
      </c>
      <c r="B1542" t="s">
        <v>138</v>
      </c>
      <c r="C1542" s="4">
        <v>2.5379177652159932E-3</v>
      </c>
      <c r="G1542" t="s">
        <v>279</v>
      </c>
    </row>
    <row r="1543" spans="1:7" hidden="1" x14ac:dyDescent="0.2">
      <c r="A1543" t="s">
        <v>33</v>
      </c>
      <c r="B1543" t="s">
        <v>228</v>
      </c>
      <c r="C1543" s="4">
        <v>7.4128863009389611E-4</v>
      </c>
      <c r="G1543" t="s">
        <v>279</v>
      </c>
    </row>
    <row r="1544" spans="1:7" hidden="1" x14ac:dyDescent="0.2">
      <c r="A1544" t="s">
        <v>33</v>
      </c>
      <c r="B1544" t="s">
        <v>229</v>
      </c>
      <c r="C1544" s="4">
        <v>2.7126446312009059E-6</v>
      </c>
      <c r="G1544" t="s">
        <v>279</v>
      </c>
    </row>
    <row r="1545" spans="1:7" hidden="1" x14ac:dyDescent="0.2">
      <c r="A1545" t="s">
        <v>33</v>
      </c>
      <c r="B1545" t="s">
        <v>208</v>
      </c>
      <c r="C1545" s="4">
        <v>1.167739260839366E-2</v>
      </c>
      <c r="G1545" t="s">
        <v>279</v>
      </c>
    </row>
    <row r="1546" spans="1:7" hidden="1" x14ac:dyDescent="0.2">
      <c r="A1546" t="s">
        <v>33</v>
      </c>
      <c r="B1546" t="s">
        <v>215</v>
      </c>
      <c r="C1546" s="4">
        <v>2.9676766288478898E-3</v>
      </c>
      <c r="G1546" t="s">
        <v>279</v>
      </c>
    </row>
    <row r="1547" spans="1:7" hidden="1" x14ac:dyDescent="0.2">
      <c r="A1547" t="s">
        <v>33</v>
      </c>
      <c r="B1547" t="s">
        <v>216</v>
      </c>
      <c r="C1547" s="4">
        <v>3.9062082689293041E-5</v>
      </c>
      <c r="G1547" t="s">
        <v>279</v>
      </c>
    </row>
    <row r="1548" spans="1:7" hidden="1" x14ac:dyDescent="0.2">
      <c r="A1548" t="s">
        <v>33</v>
      </c>
      <c r="B1548" t="s">
        <v>112</v>
      </c>
      <c r="C1548" s="4">
        <v>2.0046335318789441E-2</v>
      </c>
      <c r="G1548" t="s">
        <v>279</v>
      </c>
    </row>
    <row r="1549" spans="1:7" hidden="1" x14ac:dyDescent="0.2">
      <c r="A1549" t="s">
        <v>33</v>
      </c>
      <c r="B1549" t="s">
        <v>113</v>
      </c>
      <c r="C1549" s="4">
        <v>4.4977026008783658E-2</v>
      </c>
      <c r="G1549" t="s">
        <v>279</v>
      </c>
    </row>
    <row r="1550" spans="1:7" hidden="1" x14ac:dyDescent="0.2">
      <c r="A1550" t="s">
        <v>33</v>
      </c>
      <c r="B1550" t="s">
        <v>142</v>
      </c>
      <c r="C1550" s="4">
        <v>1.6275867787205429E-5</v>
      </c>
      <c r="G1550" t="s">
        <v>279</v>
      </c>
    </row>
    <row r="1551" spans="1:7" hidden="1" x14ac:dyDescent="0.2">
      <c r="A1551" t="s">
        <v>33</v>
      </c>
      <c r="B1551" t="s">
        <v>122</v>
      </c>
      <c r="C1551" s="4">
        <v>1.1430867464310121E-2</v>
      </c>
      <c r="G1551" t="s">
        <v>279</v>
      </c>
    </row>
    <row r="1552" spans="1:7" hidden="1" x14ac:dyDescent="0.2">
      <c r="A1552" t="s">
        <v>33</v>
      </c>
      <c r="B1552" t="s">
        <v>123</v>
      </c>
      <c r="C1552" s="4">
        <v>1.693276181109705E-3</v>
      </c>
      <c r="G1552" t="s">
        <v>279</v>
      </c>
    </row>
    <row r="1553" spans="1:7" hidden="1" x14ac:dyDescent="0.2">
      <c r="A1553" t="s">
        <v>33</v>
      </c>
      <c r="B1553" t="s">
        <v>140</v>
      </c>
      <c r="C1553" s="4">
        <v>3.9370673142538459E-3</v>
      </c>
      <c r="G1553" t="s">
        <v>279</v>
      </c>
    </row>
    <row r="1554" spans="1:7" hidden="1" x14ac:dyDescent="0.2">
      <c r="A1554" t="s">
        <v>33</v>
      </c>
      <c r="B1554" t="s">
        <v>210</v>
      </c>
      <c r="C1554" s="4">
        <v>3.1683689292426578E-5</v>
      </c>
      <c r="G1554" t="s">
        <v>279</v>
      </c>
    </row>
    <row r="1555" spans="1:7" hidden="1" x14ac:dyDescent="0.2">
      <c r="A1555" t="s">
        <v>33</v>
      </c>
      <c r="B1555" t="s">
        <v>180</v>
      </c>
      <c r="C1555" s="4">
        <v>4.1125862724710691E-4</v>
      </c>
      <c r="G1555" t="s">
        <v>279</v>
      </c>
    </row>
    <row r="1556" spans="1:7" hidden="1" x14ac:dyDescent="0.2">
      <c r="A1556" t="s">
        <v>33</v>
      </c>
      <c r="B1556" t="s">
        <v>114</v>
      </c>
      <c r="C1556" s="4">
        <v>7.4022646696210312E-5</v>
      </c>
      <c r="G1556" t="s">
        <v>279</v>
      </c>
    </row>
    <row r="1557" spans="1:7" hidden="1" x14ac:dyDescent="0.2">
      <c r="A1557" t="s">
        <v>33</v>
      </c>
      <c r="B1557" t="s">
        <v>115</v>
      </c>
      <c r="C1557" s="4">
        <v>9.4760489384385499E-3</v>
      </c>
      <c r="G1557" t="s">
        <v>279</v>
      </c>
    </row>
    <row r="1558" spans="1:7" hidden="1" x14ac:dyDescent="0.2">
      <c r="A1558" t="s">
        <v>33</v>
      </c>
      <c r="B1558" t="s">
        <v>158</v>
      </c>
      <c r="C1558" s="4">
        <v>1.757251192091947E-6</v>
      </c>
      <c r="G1558" t="s">
        <v>279</v>
      </c>
    </row>
    <row r="1559" spans="1:7" hidden="1" x14ac:dyDescent="0.2">
      <c r="A1559" t="s">
        <v>34</v>
      </c>
      <c r="B1559" t="s">
        <v>153</v>
      </c>
      <c r="C1559" s="4">
        <v>1.5716783453234191E-2</v>
      </c>
      <c r="G1559" t="s">
        <v>279</v>
      </c>
    </row>
    <row r="1560" spans="1:7" hidden="1" x14ac:dyDescent="0.2">
      <c r="A1560" t="s">
        <v>35</v>
      </c>
      <c r="B1560" t="s">
        <v>124</v>
      </c>
      <c r="C1560" s="4">
        <v>7.5073254605012205E-4</v>
      </c>
      <c r="G1560" t="s">
        <v>279</v>
      </c>
    </row>
    <row r="1561" spans="1:7" hidden="1" x14ac:dyDescent="0.2">
      <c r="A1561" t="s">
        <v>36</v>
      </c>
      <c r="B1561" t="s">
        <v>124</v>
      </c>
      <c r="C1561" s="4">
        <v>5.8711630857681239E-3</v>
      </c>
      <c r="G1561" t="s">
        <v>279</v>
      </c>
    </row>
    <row r="1562" spans="1:7" hidden="1" x14ac:dyDescent="0.2">
      <c r="A1562" t="s">
        <v>37</v>
      </c>
      <c r="B1562" t="s">
        <v>164</v>
      </c>
      <c r="C1562" s="4">
        <v>0.23748306331887639</v>
      </c>
      <c r="G1562" t="s">
        <v>279</v>
      </c>
    </row>
    <row r="1563" spans="1:7" hidden="1" x14ac:dyDescent="0.2">
      <c r="A1563" t="s">
        <v>38</v>
      </c>
      <c r="B1563" t="s">
        <v>83</v>
      </c>
      <c r="C1563" s="4">
        <v>1</v>
      </c>
      <c r="G1563" t="s">
        <v>279</v>
      </c>
    </row>
    <row r="1564" spans="1:7" hidden="1" x14ac:dyDescent="0.2">
      <c r="A1564" t="s">
        <v>39</v>
      </c>
      <c r="B1564" t="s">
        <v>83</v>
      </c>
      <c r="C1564" s="4">
        <v>1.535401684144546E-2</v>
      </c>
      <c r="G1564" t="s">
        <v>279</v>
      </c>
    </row>
    <row r="1565" spans="1:7" hidden="1" x14ac:dyDescent="0.2">
      <c r="A1565" t="s">
        <v>37</v>
      </c>
      <c r="B1565" t="s">
        <v>181</v>
      </c>
      <c r="C1565" s="4">
        <v>0.11669292257424591</v>
      </c>
      <c r="G1565" t="s">
        <v>279</v>
      </c>
    </row>
    <row r="1566" spans="1:7" hidden="1" x14ac:dyDescent="0.2">
      <c r="A1566" t="s">
        <v>40</v>
      </c>
      <c r="B1566" t="s">
        <v>181</v>
      </c>
      <c r="C1566" s="4">
        <v>2.171447034932503E-3</v>
      </c>
      <c r="G1566" t="s">
        <v>279</v>
      </c>
    </row>
    <row r="1567" spans="1:7" hidden="1" x14ac:dyDescent="0.2">
      <c r="A1567" t="s">
        <v>41</v>
      </c>
      <c r="B1567" t="s">
        <v>181</v>
      </c>
      <c r="C1567" s="4">
        <v>0.26293109744518622</v>
      </c>
      <c r="G1567" t="s">
        <v>279</v>
      </c>
    </row>
    <row r="1568" spans="1:7" hidden="1" x14ac:dyDescent="0.2">
      <c r="A1568" t="s">
        <v>36</v>
      </c>
      <c r="B1568" t="s">
        <v>212</v>
      </c>
      <c r="C1568" s="4">
        <v>5.5989715060007099E-2</v>
      </c>
      <c r="G1568" t="s">
        <v>279</v>
      </c>
    </row>
    <row r="1569" spans="1:7" hidden="1" x14ac:dyDescent="0.2">
      <c r="A1569" t="s">
        <v>42</v>
      </c>
      <c r="B1569" t="s">
        <v>84</v>
      </c>
      <c r="C1569" s="4">
        <v>7.5438352700745793E-4</v>
      </c>
      <c r="G1569" t="s">
        <v>279</v>
      </c>
    </row>
    <row r="1570" spans="1:7" hidden="1" x14ac:dyDescent="0.2">
      <c r="A1570" t="s">
        <v>34</v>
      </c>
      <c r="B1570" t="s">
        <v>85</v>
      </c>
      <c r="C1570" s="4">
        <v>4.7901472299631917E-2</v>
      </c>
      <c r="G1570" t="s">
        <v>279</v>
      </c>
    </row>
    <row r="1571" spans="1:7" hidden="1" x14ac:dyDescent="0.2">
      <c r="A1571" t="s">
        <v>43</v>
      </c>
      <c r="B1571" t="s">
        <v>85</v>
      </c>
      <c r="C1571" s="4">
        <v>5.6576097763496938E-2</v>
      </c>
      <c r="G1571" t="s">
        <v>279</v>
      </c>
    </row>
    <row r="1572" spans="1:7" hidden="1" x14ac:dyDescent="0.2">
      <c r="A1572" t="s">
        <v>40</v>
      </c>
      <c r="B1572" t="s">
        <v>85</v>
      </c>
      <c r="C1572" s="4">
        <v>3.8105073716283952E-2</v>
      </c>
      <c r="G1572" t="s">
        <v>279</v>
      </c>
    </row>
    <row r="1573" spans="1:7" hidden="1" x14ac:dyDescent="0.2">
      <c r="A1573" t="s">
        <v>44</v>
      </c>
      <c r="B1573" t="s">
        <v>85</v>
      </c>
      <c r="C1573" s="4">
        <v>0.89623759643053247</v>
      </c>
      <c r="G1573" t="s">
        <v>279</v>
      </c>
    </row>
    <row r="1574" spans="1:7" hidden="1" x14ac:dyDescent="0.2">
      <c r="A1574" t="s">
        <v>45</v>
      </c>
      <c r="B1574" t="s">
        <v>85</v>
      </c>
      <c r="C1574" s="4">
        <v>0.59265932164214041</v>
      </c>
      <c r="G1574" t="s">
        <v>279</v>
      </c>
    </row>
    <row r="1575" spans="1:7" hidden="1" x14ac:dyDescent="0.2">
      <c r="A1575" t="s">
        <v>36</v>
      </c>
      <c r="B1575" t="s">
        <v>85</v>
      </c>
      <c r="C1575" s="4">
        <v>4.6449075045633892E-2</v>
      </c>
      <c r="G1575" t="s">
        <v>279</v>
      </c>
    </row>
    <row r="1576" spans="1:7" hidden="1" x14ac:dyDescent="0.2">
      <c r="A1576" t="s">
        <v>46</v>
      </c>
      <c r="B1576" t="s">
        <v>85</v>
      </c>
      <c r="C1576" s="4">
        <v>0.13280168392535219</v>
      </c>
      <c r="G1576" t="s">
        <v>279</v>
      </c>
    </row>
    <row r="1577" spans="1:7" hidden="1" x14ac:dyDescent="0.2">
      <c r="A1577" t="s">
        <v>39</v>
      </c>
      <c r="B1577" t="s">
        <v>85</v>
      </c>
      <c r="C1577" s="4">
        <v>6.7956417260761681E-2</v>
      </c>
      <c r="G1577" t="s">
        <v>279</v>
      </c>
    </row>
    <row r="1578" spans="1:7" hidden="1" x14ac:dyDescent="0.2">
      <c r="A1578" t="s">
        <v>44</v>
      </c>
      <c r="B1578" t="s">
        <v>116</v>
      </c>
      <c r="C1578" s="4">
        <v>0.1037624035694675</v>
      </c>
      <c r="G1578" t="s">
        <v>279</v>
      </c>
    </row>
    <row r="1579" spans="1:7" hidden="1" x14ac:dyDescent="0.2">
      <c r="A1579" t="s">
        <v>36</v>
      </c>
      <c r="B1579" t="s">
        <v>116</v>
      </c>
      <c r="C1579" s="4">
        <v>1.6442972566154401E-2</v>
      </c>
      <c r="G1579" t="s">
        <v>279</v>
      </c>
    </row>
    <row r="1580" spans="1:7" hidden="1" x14ac:dyDescent="0.2">
      <c r="A1580" t="s">
        <v>41</v>
      </c>
      <c r="B1580" t="s">
        <v>116</v>
      </c>
      <c r="C1580" s="4">
        <v>4.0900392935917851E-2</v>
      </c>
      <c r="G1580" t="s">
        <v>279</v>
      </c>
    </row>
    <row r="1581" spans="1:7" hidden="1" x14ac:dyDescent="0.2">
      <c r="A1581" t="s">
        <v>39</v>
      </c>
      <c r="B1581" t="s">
        <v>116</v>
      </c>
      <c r="C1581" s="4">
        <v>9.9702263867411933E-3</v>
      </c>
      <c r="G1581" t="s">
        <v>279</v>
      </c>
    </row>
    <row r="1582" spans="1:7" hidden="1" x14ac:dyDescent="0.2">
      <c r="A1582" t="s">
        <v>37</v>
      </c>
      <c r="B1582" t="s">
        <v>145</v>
      </c>
      <c r="C1582" s="4">
        <v>0.47001316036849028</v>
      </c>
      <c r="G1582" t="s">
        <v>279</v>
      </c>
    </row>
    <row r="1583" spans="1:7" hidden="1" x14ac:dyDescent="0.2">
      <c r="A1583" t="s">
        <v>42</v>
      </c>
      <c r="B1583" t="s">
        <v>86</v>
      </c>
      <c r="C1583" s="4">
        <v>0.90218847233221822</v>
      </c>
      <c r="G1583" t="s">
        <v>279</v>
      </c>
    </row>
    <row r="1584" spans="1:7" hidden="1" x14ac:dyDescent="0.2">
      <c r="A1584" t="s">
        <v>39</v>
      </c>
      <c r="B1584" t="s">
        <v>86</v>
      </c>
      <c r="C1584" s="4">
        <v>0.77819165529612755</v>
      </c>
      <c r="G1584" t="s">
        <v>279</v>
      </c>
    </row>
    <row r="1585" spans="1:7" hidden="1" x14ac:dyDescent="0.2">
      <c r="A1585" t="s">
        <v>40</v>
      </c>
      <c r="B1585" t="s">
        <v>87</v>
      </c>
      <c r="C1585" s="4">
        <v>9.8499616956743044E-2</v>
      </c>
      <c r="G1585" t="s">
        <v>279</v>
      </c>
    </row>
    <row r="1586" spans="1:7" hidden="1" x14ac:dyDescent="0.2">
      <c r="A1586" t="s">
        <v>41</v>
      </c>
      <c r="B1586" t="s">
        <v>217</v>
      </c>
      <c r="C1586" s="4">
        <v>0.23517725938152759</v>
      </c>
      <c r="G1586" t="s">
        <v>279</v>
      </c>
    </row>
    <row r="1587" spans="1:7" hidden="1" x14ac:dyDescent="0.2">
      <c r="A1587" t="s">
        <v>40</v>
      </c>
      <c r="B1587" t="s">
        <v>89</v>
      </c>
      <c r="C1587" s="4">
        <v>5.4086576461861567E-2</v>
      </c>
      <c r="G1587" t="s">
        <v>279</v>
      </c>
    </row>
    <row r="1588" spans="1:7" hidden="1" x14ac:dyDescent="0.2">
      <c r="A1588" t="s">
        <v>36</v>
      </c>
      <c r="B1588" t="s">
        <v>128</v>
      </c>
      <c r="C1588" s="4">
        <v>2.8307831397661031E-2</v>
      </c>
      <c r="G1588" t="s">
        <v>279</v>
      </c>
    </row>
    <row r="1589" spans="1:7" hidden="1" x14ac:dyDescent="0.2">
      <c r="A1589" t="s">
        <v>46</v>
      </c>
      <c r="B1589" t="s">
        <v>128</v>
      </c>
      <c r="C1589" s="4">
        <v>6.8307210135424512E-2</v>
      </c>
      <c r="G1589" t="s">
        <v>279</v>
      </c>
    </row>
    <row r="1590" spans="1:7" hidden="1" x14ac:dyDescent="0.2">
      <c r="A1590" t="s">
        <v>34</v>
      </c>
      <c r="B1590" t="s">
        <v>154</v>
      </c>
      <c r="C1590" s="4">
        <v>0.11216975872838821</v>
      </c>
      <c r="G1590" t="s">
        <v>279</v>
      </c>
    </row>
    <row r="1591" spans="1:7" hidden="1" x14ac:dyDescent="0.2">
      <c r="A1591" t="s">
        <v>43</v>
      </c>
      <c r="B1591" t="s">
        <v>91</v>
      </c>
      <c r="C1591" s="4">
        <v>4.3617675371343041E-2</v>
      </c>
      <c r="G1591" t="s">
        <v>279</v>
      </c>
    </row>
    <row r="1592" spans="1:7" hidden="1" x14ac:dyDescent="0.2">
      <c r="A1592" t="s">
        <v>35</v>
      </c>
      <c r="B1592" t="s">
        <v>91</v>
      </c>
      <c r="C1592" s="4">
        <v>2.3054621122926219E-2</v>
      </c>
      <c r="G1592" t="s">
        <v>279</v>
      </c>
    </row>
    <row r="1593" spans="1:7" hidden="1" x14ac:dyDescent="0.2">
      <c r="A1593" t="s">
        <v>36</v>
      </c>
      <c r="B1593" t="s">
        <v>91</v>
      </c>
      <c r="C1593" s="4">
        <v>2.1366574520991589E-2</v>
      </c>
      <c r="G1593" t="s">
        <v>279</v>
      </c>
    </row>
    <row r="1594" spans="1:7" hidden="1" x14ac:dyDescent="0.2">
      <c r="A1594" t="s">
        <v>39</v>
      </c>
      <c r="B1594" t="s">
        <v>91</v>
      </c>
      <c r="C1594" s="4">
        <v>3.7297740481794552E-2</v>
      </c>
      <c r="G1594" t="s">
        <v>279</v>
      </c>
    </row>
    <row r="1595" spans="1:7" hidden="1" x14ac:dyDescent="0.2">
      <c r="A1595" t="s">
        <v>35</v>
      </c>
      <c r="B1595" t="s">
        <v>195</v>
      </c>
      <c r="C1595" s="4">
        <v>1.247717491535303E-2</v>
      </c>
      <c r="G1595" t="s">
        <v>279</v>
      </c>
    </row>
    <row r="1596" spans="1:7" hidden="1" x14ac:dyDescent="0.2">
      <c r="A1596" t="s">
        <v>43</v>
      </c>
      <c r="B1596" t="s">
        <v>169</v>
      </c>
      <c r="C1596" s="4">
        <v>2.0800035942462108E-3</v>
      </c>
      <c r="G1596" t="s">
        <v>279</v>
      </c>
    </row>
    <row r="1597" spans="1:7" hidden="1" x14ac:dyDescent="0.2">
      <c r="A1597" t="s">
        <v>35</v>
      </c>
      <c r="B1597" t="s">
        <v>169</v>
      </c>
      <c r="C1597" s="4">
        <v>0.109361161887741</v>
      </c>
      <c r="G1597" t="s">
        <v>279</v>
      </c>
    </row>
    <row r="1598" spans="1:7" hidden="1" x14ac:dyDescent="0.2">
      <c r="A1598" t="s">
        <v>34</v>
      </c>
      <c r="B1598" t="s">
        <v>117</v>
      </c>
      <c r="C1598" s="4">
        <v>5.0314830046890189E-3</v>
      </c>
      <c r="G1598" t="s">
        <v>279</v>
      </c>
    </row>
    <row r="1599" spans="1:7" hidden="1" x14ac:dyDescent="0.2">
      <c r="A1599" t="s">
        <v>46</v>
      </c>
      <c r="B1599" t="s">
        <v>117</v>
      </c>
      <c r="C1599" s="4">
        <v>2.6958741836846489E-2</v>
      </c>
      <c r="G1599" t="s">
        <v>279</v>
      </c>
    </row>
    <row r="1600" spans="1:7" hidden="1" x14ac:dyDescent="0.2">
      <c r="A1600" t="s">
        <v>39</v>
      </c>
      <c r="B1600" t="s">
        <v>117</v>
      </c>
      <c r="C1600" s="4">
        <v>9.959089782251046E-3</v>
      </c>
      <c r="G1600" t="s">
        <v>279</v>
      </c>
    </row>
    <row r="1601" spans="1:7" hidden="1" x14ac:dyDescent="0.2">
      <c r="A1601" t="s">
        <v>40</v>
      </c>
      <c r="B1601" t="s">
        <v>93</v>
      </c>
      <c r="C1601" s="4">
        <v>4.8799189789682333E-2</v>
      </c>
      <c r="G1601" t="s">
        <v>279</v>
      </c>
    </row>
    <row r="1602" spans="1:7" hidden="1" x14ac:dyDescent="0.2">
      <c r="A1602" t="s">
        <v>36</v>
      </c>
      <c r="B1602" t="s">
        <v>129</v>
      </c>
      <c r="C1602" s="4">
        <v>5.6290890862602992E-2</v>
      </c>
      <c r="G1602" t="s">
        <v>279</v>
      </c>
    </row>
    <row r="1603" spans="1:7" hidden="1" x14ac:dyDescent="0.2">
      <c r="A1603" t="s">
        <v>47</v>
      </c>
      <c r="B1603" t="s">
        <v>97</v>
      </c>
      <c r="C1603" s="4">
        <v>1</v>
      </c>
      <c r="G1603" t="s">
        <v>279</v>
      </c>
    </row>
    <row r="1604" spans="1:7" hidden="1" x14ac:dyDescent="0.2">
      <c r="A1604" t="s">
        <v>34</v>
      </c>
      <c r="B1604" t="s">
        <v>97</v>
      </c>
      <c r="C1604" s="4">
        <v>0.20921275616653251</v>
      </c>
      <c r="G1604" t="s">
        <v>279</v>
      </c>
    </row>
    <row r="1605" spans="1:7" hidden="1" x14ac:dyDescent="0.2">
      <c r="A1605" t="s">
        <v>43</v>
      </c>
      <c r="B1605" t="s">
        <v>97</v>
      </c>
      <c r="C1605" s="4">
        <v>9.5772609939514419E-2</v>
      </c>
      <c r="G1605" t="s">
        <v>279</v>
      </c>
    </row>
    <row r="1606" spans="1:7" hidden="1" x14ac:dyDescent="0.2">
      <c r="A1606" t="s">
        <v>37</v>
      </c>
      <c r="B1606" t="s">
        <v>97</v>
      </c>
      <c r="C1606" s="4">
        <v>2.3293203933848081E-2</v>
      </c>
      <c r="G1606" t="s">
        <v>279</v>
      </c>
    </row>
    <row r="1607" spans="1:7" hidden="1" x14ac:dyDescent="0.2">
      <c r="A1607" t="s">
        <v>45</v>
      </c>
      <c r="B1607" t="s">
        <v>97</v>
      </c>
      <c r="C1607" s="4">
        <v>0.40734067835785948</v>
      </c>
      <c r="G1607" t="s">
        <v>279</v>
      </c>
    </row>
    <row r="1608" spans="1:7" hidden="1" x14ac:dyDescent="0.2">
      <c r="A1608" t="s">
        <v>35</v>
      </c>
      <c r="B1608" t="s">
        <v>97</v>
      </c>
      <c r="C1608" s="4">
        <v>0.1225049873039866</v>
      </c>
      <c r="G1608" t="s">
        <v>279</v>
      </c>
    </row>
    <row r="1609" spans="1:7" hidden="1" x14ac:dyDescent="0.2">
      <c r="A1609" t="s">
        <v>36</v>
      </c>
      <c r="B1609" t="s">
        <v>97</v>
      </c>
      <c r="C1609" s="4">
        <v>1.6721667016428202E-2</v>
      </c>
      <c r="G1609" t="s">
        <v>279</v>
      </c>
    </row>
    <row r="1610" spans="1:7" hidden="1" x14ac:dyDescent="0.2">
      <c r="A1610" t="s">
        <v>48</v>
      </c>
      <c r="B1610" t="s">
        <v>97</v>
      </c>
      <c r="C1610" s="4">
        <v>1</v>
      </c>
      <c r="G1610" t="s">
        <v>279</v>
      </c>
    </row>
    <row r="1611" spans="1:7" hidden="1" x14ac:dyDescent="0.2">
      <c r="A1611" t="s">
        <v>41</v>
      </c>
      <c r="B1611" t="s">
        <v>97</v>
      </c>
      <c r="C1611" s="4">
        <v>3.1062387706510469E-2</v>
      </c>
      <c r="G1611" t="s">
        <v>279</v>
      </c>
    </row>
    <row r="1612" spans="1:7" hidden="1" x14ac:dyDescent="0.2">
      <c r="A1612" t="s">
        <v>40</v>
      </c>
      <c r="B1612" t="s">
        <v>98</v>
      </c>
      <c r="C1612" s="4">
        <v>0.10781755675728261</v>
      </c>
      <c r="G1612" t="s">
        <v>279</v>
      </c>
    </row>
    <row r="1613" spans="1:7" hidden="1" x14ac:dyDescent="0.2">
      <c r="A1613" t="s">
        <v>35</v>
      </c>
      <c r="B1613" t="s">
        <v>98</v>
      </c>
      <c r="C1613" s="4">
        <v>2.4023441473603911E-3</v>
      </c>
      <c r="G1613" t="s">
        <v>279</v>
      </c>
    </row>
    <row r="1614" spans="1:7" hidden="1" x14ac:dyDescent="0.2">
      <c r="A1614" t="s">
        <v>34</v>
      </c>
      <c r="B1614" t="s">
        <v>99</v>
      </c>
      <c r="C1614" s="4">
        <v>1.846415781537255E-3</v>
      </c>
      <c r="G1614" t="s">
        <v>279</v>
      </c>
    </row>
    <row r="1615" spans="1:7" hidden="1" x14ac:dyDescent="0.2">
      <c r="A1615" t="s">
        <v>36</v>
      </c>
      <c r="B1615" t="s">
        <v>99</v>
      </c>
      <c r="C1615" s="4">
        <v>2.8798426528293019E-2</v>
      </c>
      <c r="G1615" t="s">
        <v>279</v>
      </c>
    </row>
    <row r="1616" spans="1:7" hidden="1" x14ac:dyDescent="0.2">
      <c r="A1616" t="s">
        <v>35</v>
      </c>
      <c r="B1616" t="s">
        <v>182</v>
      </c>
      <c r="C1616" s="4">
        <v>3.3933111081465517E-2</v>
      </c>
      <c r="G1616" t="s">
        <v>279</v>
      </c>
    </row>
    <row r="1617" spans="1:7" hidden="1" x14ac:dyDescent="0.2">
      <c r="A1617" t="s">
        <v>43</v>
      </c>
      <c r="B1617" t="s">
        <v>119</v>
      </c>
      <c r="C1617" s="4">
        <v>0.20487776558433449</v>
      </c>
      <c r="G1617" t="s">
        <v>279</v>
      </c>
    </row>
    <row r="1618" spans="1:7" hidden="1" x14ac:dyDescent="0.2">
      <c r="A1618" t="s">
        <v>40</v>
      </c>
      <c r="B1618" t="s">
        <v>119</v>
      </c>
      <c r="C1618" s="4">
        <v>0.25496922625262092</v>
      </c>
      <c r="G1618" t="s">
        <v>279</v>
      </c>
    </row>
    <row r="1619" spans="1:7" hidden="1" x14ac:dyDescent="0.2">
      <c r="A1619" t="s">
        <v>46</v>
      </c>
      <c r="B1619" t="s">
        <v>119</v>
      </c>
      <c r="C1619" s="4">
        <v>0.219612152682096</v>
      </c>
      <c r="G1619" t="s">
        <v>279</v>
      </c>
    </row>
    <row r="1620" spans="1:7" hidden="1" x14ac:dyDescent="0.2">
      <c r="A1620" t="s">
        <v>34</v>
      </c>
      <c r="B1620" t="s">
        <v>102</v>
      </c>
      <c r="C1620" s="4">
        <v>0.40698728968920339</v>
      </c>
      <c r="G1620" t="s">
        <v>279</v>
      </c>
    </row>
    <row r="1621" spans="1:7" hidden="1" x14ac:dyDescent="0.2">
      <c r="A1621" t="s">
        <v>49</v>
      </c>
      <c r="B1621" t="s">
        <v>102</v>
      </c>
      <c r="C1621" s="4">
        <v>0.96338254602901152</v>
      </c>
      <c r="G1621" t="s">
        <v>279</v>
      </c>
    </row>
    <row r="1622" spans="1:7" hidden="1" x14ac:dyDescent="0.2">
      <c r="A1622" t="s">
        <v>35</v>
      </c>
      <c r="B1622" t="s">
        <v>102</v>
      </c>
      <c r="C1622" s="4">
        <v>4.8052663587812398E-2</v>
      </c>
      <c r="G1622" t="s">
        <v>279</v>
      </c>
    </row>
    <row r="1623" spans="1:7" hidden="1" x14ac:dyDescent="0.2">
      <c r="A1623" t="s">
        <v>36</v>
      </c>
      <c r="B1623" t="s">
        <v>102</v>
      </c>
      <c r="C1623" s="4">
        <v>5.2578587886805833E-2</v>
      </c>
      <c r="G1623" t="s">
        <v>279</v>
      </c>
    </row>
    <row r="1624" spans="1:7" hidden="1" x14ac:dyDescent="0.2">
      <c r="A1624" t="s">
        <v>43</v>
      </c>
      <c r="B1624" t="s">
        <v>148</v>
      </c>
      <c r="C1624" s="4">
        <v>0.16408917243497889</v>
      </c>
      <c r="G1624" t="s">
        <v>279</v>
      </c>
    </row>
    <row r="1625" spans="1:7" hidden="1" x14ac:dyDescent="0.2">
      <c r="A1625" t="s">
        <v>35</v>
      </c>
      <c r="B1625" t="s">
        <v>148</v>
      </c>
      <c r="C1625" s="4">
        <v>7.3571789512911961E-2</v>
      </c>
      <c r="G1625" t="s">
        <v>279</v>
      </c>
    </row>
    <row r="1626" spans="1:7" hidden="1" x14ac:dyDescent="0.2">
      <c r="A1626" t="s">
        <v>46</v>
      </c>
      <c r="B1626" t="s">
        <v>148</v>
      </c>
      <c r="C1626" s="4">
        <v>1.3944176812161981E-2</v>
      </c>
      <c r="G1626" t="s">
        <v>279</v>
      </c>
    </row>
    <row r="1627" spans="1:7" hidden="1" x14ac:dyDescent="0.2">
      <c r="A1627" t="s">
        <v>42</v>
      </c>
      <c r="B1627" t="s">
        <v>149</v>
      </c>
      <c r="C1627" s="4">
        <v>8.8443704250103954E-4</v>
      </c>
      <c r="G1627" t="s">
        <v>279</v>
      </c>
    </row>
    <row r="1628" spans="1:7" hidden="1" x14ac:dyDescent="0.2">
      <c r="A1628" t="s">
        <v>40</v>
      </c>
      <c r="B1628" t="s">
        <v>230</v>
      </c>
      <c r="C1628" s="4">
        <v>8.3730997666997299E-3</v>
      </c>
      <c r="G1628" t="s">
        <v>279</v>
      </c>
    </row>
    <row r="1629" spans="1:7" hidden="1" x14ac:dyDescent="0.2">
      <c r="A1629" t="s">
        <v>43</v>
      </c>
      <c r="B1629" t="s">
        <v>150</v>
      </c>
      <c r="C1629" s="4">
        <v>3.5781608497286149E-2</v>
      </c>
      <c r="G1629" t="s">
        <v>279</v>
      </c>
    </row>
    <row r="1630" spans="1:7" hidden="1" x14ac:dyDescent="0.2">
      <c r="A1630" t="s">
        <v>35</v>
      </c>
      <c r="B1630" t="s">
        <v>150</v>
      </c>
      <c r="C1630" s="4">
        <v>5.8035754838677713E-2</v>
      </c>
      <c r="G1630" t="s">
        <v>279</v>
      </c>
    </row>
    <row r="1631" spans="1:7" hidden="1" x14ac:dyDescent="0.2">
      <c r="A1631" t="s">
        <v>40</v>
      </c>
      <c r="B1631" t="s">
        <v>174</v>
      </c>
      <c r="C1631" s="4">
        <v>5.3920156761104343E-2</v>
      </c>
      <c r="G1631" t="s">
        <v>279</v>
      </c>
    </row>
    <row r="1632" spans="1:7" hidden="1" x14ac:dyDescent="0.2">
      <c r="A1632" t="s">
        <v>40</v>
      </c>
      <c r="B1632" t="s">
        <v>162</v>
      </c>
      <c r="C1632" s="4">
        <v>0.2118362972137729</v>
      </c>
      <c r="G1632" t="s">
        <v>279</v>
      </c>
    </row>
    <row r="1633" spans="1:7" hidden="1" x14ac:dyDescent="0.2">
      <c r="A1633" t="s">
        <v>40</v>
      </c>
      <c r="B1633" t="s">
        <v>176</v>
      </c>
      <c r="C1633" s="4">
        <v>1.1801901492739551E-2</v>
      </c>
      <c r="G1633" t="s">
        <v>279</v>
      </c>
    </row>
    <row r="1634" spans="1:7" hidden="1" x14ac:dyDescent="0.2">
      <c r="A1634" t="s">
        <v>36</v>
      </c>
      <c r="B1634" t="s">
        <v>176</v>
      </c>
      <c r="C1634" s="4">
        <v>3.0006102479479499E-5</v>
      </c>
      <c r="G1634" t="s">
        <v>279</v>
      </c>
    </row>
    <row r="1635" spans="1:7" hidden="1" x14ac:dyDescent="0.2">
      <c r="A1635" t="s">
        <v>43</v>
      </c>
      <c r="B1635" t="s">
        <v>132</v>
      </c>
      <c r="C1635" s="4">
        <v>0.1588568078378973</v>
      </c>
      <c r="G1635" t="s">
        <v>279</v>
      </c>
    </row>
    <row r="1636" spans="1:7" hidden="1" x14ac:dyDescent="0.2">
      <c r="A1636" t="s">
        <v>35</v>
      </c>
      <c r="B1636" t="s">
        <v>132</v>
      </c>
      <c r="C1636" s="4">
        <v>0.1106955139150905</v>
      </c>
      <c r="G1636" t="s">
        <v>279</v>
      </c>
    </row>
    <row r="1637" spans="1:7" hidden="1" x14ac:dyDescent="0.2">
      <c r="A1637" t="s">
        <v>36</v>
      </c>
      <c r="B1637" t="s">
        <v>132</v>
      </c>
      <c r="C1637" s="4">
        <v>0.1130363323736025</v>
      </c>
      <c r="G1637" t="s">
        <v>279</v>
      </c>
    </row>
    <row r="1638" spans="1:7" hidden="1" x14ac:dyDescent="0.2">
      <c r="A1638" t="s">
        <v>39</v>
      </c>
      <c r="B1638" t="s">
        <v>132</v>
      </c>
      <c r="C1638" s="4">
        <v>6.3261185269474857E-2</v>
      </c>
      <c r="G1638" t="s">
        <v>279</v>
      </c>
    </row>
    <row r="1639" spans="1:7" hidden="1" x14ac:dyDescent="0.2">
      <c r="A1639" t="s">
        <v>43</v>
      </c>
      <c r="B1639" t="s">
        <v>151</v>
      </c>
      <c r="C1639" s="4">
        <v>6.101343876455552E-6</v>
      </c>
      <c r="G1639" t="s">
        <v>279</v>
      </c>
    </row>
    <row r="1640" spans="1:7" hidden="1" x14ac:dyDescent="0.2">
      <c r="A1640" t="s">
        <v>36</v>
      </c>
      <c r="B1640" t="s">
        <v>151</v>
      </c>
      <c r="C1640" s="4">
        <v>3.0651930418913991E-2</v>
      </c>
      <c r="G1640" t="s">
        <v>279</v>
      </c>
    </row>
    <row r="1641" spans="1:7" hidden="1" x14ac:dyDescent="0.2">
      <c r="A1641" t="s">
        <v>46</v>
      </c>
      <c r="B1641" t="s">
        <v>151</v>
      </c>
      <c r="C1641" s="4">
        <v>9.5709509596581685E-2</v>
      </c>
      <c r="G1641" t="s">
        <v>279</v>
      </c>
    </row>
    <row r="1642" spans="1:7" hidden="1" x14ac:dyDescent="0.2">
      <c r="A1642" t="s">
        <v>34</v>
      </c>
      <c r="B1642" t="s">
        <v>107</v>
      </c>
      <c r="C1642" s="4">
        <v>8.9126582095592363E-2</v>
      </c>
      <c r="G1642" t="s">
        <v>279</v>
      </c>
    </row>
    <row r="1643" spans="1:7" hidden="1" x14ac:dyDescent="0.2">
      <c r="A1643" t="s">
        <v>43</v>
      </c>
      <c r="B1643" t="s">
        <v>107</v>
      </c>
      <c r="C1643" s="4">
        <v>0.1189762055908833</v>
      </c>
      <c r="G1643" t="s">
        <v>279</v>
      </c>
    </row>
    <row r="1644" spans="1:7" hidden="1" x14ac:dyDescent="0.2">
      <c r="A1644" t="s">
        <v>37</v>
      </c>
      <c r="B1644" t="s">
        <v>107</v>
      </c>
      <c r="C1644" s="4">
        <v>0.15251764980453941</v>
      </c>
      <c r="G1644" t="s">
        <v>279</v>
      </c>
    </row>
    <row r="1645" spans="1:7" hidden="1" x14ac:dyDescent="0.2">
      <c r="A1645" t="s">
        <v>40</v>
      </c>
      <c r="B1645" t="s">
        <v>107</v>
      </c>
      <c r="C1645" s="4">
        <v>1.7371576279460021E-2</v>
      </c>
      <c r="G1645" t="s">
        <v>279</v>
      </c>
    </row>
    <row r="1646" spans="1:7" hidden="1" x14ac:dyDescent="0.2">
      <c r="A1646" t="s">
        <v>49</v>
      </c>
      <c r="B1646" t="s">
        <v>107</v>
      </c>
      <c r="C1646" s="4">
        <v>3.6617453970988513E-2</v>
      </c>
      <c r="G1646" t="s">
        <v>279</v>
      </c>
    </row>
    <row r="1647" spans="1:7" hidden="1" x14ac:dyDescent="0.2">
      <c r="A1647" t="s">
        <v>35</v>
      </c>
      <c r="B1647" t="s">
        <v>107</v>
      </c>
      <c r="C1647" s="4">
        <v>1.8019457936568051E-2</v>
      </c>
      <c r="G1647" t="s">
        <v>279</v>
      </c>
    </row>
    <row r="1648" spans="1:7" hidden="1" x14ac:dyDescent="0.2">
      <c r="A1648" t="s">
        <v>36</v>
      </c>
      <c r="B1648" t="s">
        <v>107</v>
      </c>
      <c r="C1648" s="4">
        <v>0.39720722149343618</v>
      </c>
      <c r="G1648" t="s">
        <v>279</v>
      </c>
    </row>
    <row r="1649" spans="1:7" hidden="1" x14ac:dyDescent="0.2">
      <c r="A1649" t="s">
        <v>41</v>
      </c>
      <c r="B1649" t="s">
        <v>107</v>
      </c>
      <c r="C1649" s="4">
        <v>0.42992886253085788</v>
      </c>
      <c r="G1649" t="s">
        <v>279</v>
      </c>
    </row>
    <row r="1650" spans="1:7" hidden="1" x14ac:dyDescent="0.2">
      <c r="A1650" t="s">
        <v>46</v>
      </c>
      <c r="B1650" t="s">
        <v>107</v>
      </c>
      <c r="C1650" s="4">
        <v>0.11288143133654931</v>
      </c>
      <c r="G1650" t="s">
        <v>279</v>
      </c>
    </row>
    <row r="1651" spans="1:7" hidden="1" x14ac:dyDescent="0.2">
      <c r="A1651" t="s">
        <v>39</v>
      </c>
      <c r="B1651" t="s">
        <v>107</v>
      </c>
      <c r="C1651" s="4">
        <v>1.5815296317368711E-2</v>
      </c>
      <c r="G1651" t="s">
        <v>279</v>
      </c>
    </row>
    <row r="1652" spans="1:7" hidden="1" x14ac:dyDescent="0.2">
      <c r="A1652" t="s">
        <v>50</v>
      </c>
      <c r="B1652" t="s">
        <v>107</v>
      </c>
      <c r="C1652" s="4">
        <v>1</v>
      </c>
      <c r="G1652" t="s">
        <v>279</v>
      </c>
    </row>
    <row r="1653" spans="1:7" hidden="1" x14ac:dyDescent="0.2">
      <c r="A1653" t="s">
        <v>43</v>
      </c>
      <c r="B1653" t="s">
        <v>135</v>
      </c>
      <c r="C1653" s="4">
        <v>1.430118026799506E-2</v>
      </c>
      <c r="G1653" t="s">
        <v>279</v>
      </c>
    </row>
    <row r="1654" spans="1:7" hidden="1" x14ac:dyDescent="0.2">
      <c r="A1654" t="s">
        <v>35</v>
      </c>
      <c r="B1654" t="s">
        <v>135</v>
      </c>
      <c r="C1654" s="4">
        <v>1.5735354165210561E-2</v>
      </c>
      <c r="G1654" t="s">
        <v>279</v>
      </c>
    </row>
    <row r="1655" spans="1:7" hidden="1" x14ac:dyDescent="0.2">
      <c r="A1655" t="s">
        <v>36</v>
      </c>
      <c r="B1655" t="s">
        <v>135</v>
      </c>
      <c r="C1655" s="4">
        <v>1.694462257664724E-2</v>
      </c>
      <c r="G1655" t="s">
        <v>279</v>
      </c>
    </row>
    <row r="1656" spans="1:7" hidden="1" x14ac:dyDescent="0.2">
      <c r="A1656" t="s">
        <v>46</v>
      </c>
      <c r="B1656" t="s">
        <v>135</v>
      </c>
      <c r="C1656" s="4">
        <v>5.8432740927154957E-3</v>
      </c>
      <c r="G1656" t="s">
        <v>279</v>
      </c>
    </row>
    <row r="1657" spans="1:7" hidden="1" x14ac:dyDescent="0.2">
      <c r="A1657" t="s">
        <v>42</v>
      </c>
      <c r="B1657" t="s">
        <v>137</v>
      </c>
      <c r="C1657" s="4">
        <v>9.617270709827333E-2</v>
      </c>
      <c r="G1657" t="s">
        <v>279</v>
      </c>
    </row>
    <row r="1658" spans="1:7" hidden="1" x14ac:dyDescent="0.2">
      <c r="A1658" t="s">
        <v>43</v>
      </c>
      <c r="B1658" t="s">
        <v>121</v>
      </c>
      <c r="C1658" s="4">
        <v>3.0210896648873851E-2</v>
      </c>
      <c r="G1658" t="s">
        <v>279</v>
      </c>
    </row>
    <row r="1659" spans="1:7" hidden="1" x14ac:dyDescent="0.2">
      <c r="A1659" t="s">
        <v>35</v>
      </c>
      <c r="B1659" t="s">
        <v>121</v>
      </c>
      <c r="C1659" s="4">
        <v>4.1980963975122833E-2</v>
      </c>
      <c r="G1659" t="s">
        <v>279</v>
      </c>
    </row>
    <row r="1660" spans="1:7" hidden="1" x14ac:dyDescent="0.2">
      <c r="A1660" t="s">
        <v>36</v>
      </c>
      <c r="B1660" t="s">
        <v>121</v>
      </c>
      <c r="C1660" s="4">
        <v>4.0875186040157829E-2</v>
      </c>
      <c r="G1660" t="s">
        <v>279</v>
      </c>
    </row>
    <row r="1661" spans="1:7" hidden="1" x14ac:dyDescent="0.2">
      <c r="A1661" t="s">
        <v>39</v>
      </c>
      <c r="B1661" t="s">
        <v>121</v>
      </c>
      <c r="C1661" s="4">
        <v>2.194372364034909E-3</v>
      </c>
      <c r="G1661" t="s">
        <v>279</v>
      </c>
    </row>
    <row r="1662" spans="1:7" hidden="1" x14ac:dyDescent="0.2">
      <c r="A1662" t="s">
        <v>34</v>
      </c>
      <c r="B1662" t="s">
        <v>138</v>
      </c>
      <c r="C1662" s="4">
        <v>2.680012498388425E-2</v>
      </c>
      <c r="G1662" t="s">
        <v>279</v>
      </c>
    </row>
    <row r="1663" spans="1:7" hidden="1" x14ac:dyDescent="0.2">
      <c r="A1663" t="s">
        <v>34</v>
      </c>
      <c r="B1663" t="s">
        <v>112</v>
      </c>
      <c r="C1663" s="4">
        <v>2.088231624366281E-2</v>
      </c>
      <c r="G1663" t="s">
        <v>279</v>
      </c>
    </row>
    <row r="1664" spans="1:7" hidden="1" x14ac:dyDescent="0.2">
      <c r="A1664" t="s">
        <v>36</v>
      </c>
      <c r="B1664" t="s">
        <v>112</v>
      </c>
      <c r="C1664" s="4">
        <v>3.0935083980392171E-3</v>
      </c>
      <c r="G1664" t="s">
        <v>279</v>
      </c>
    </row>
    <row r="1665" spans="1:7" hidden="1" x14ac:dyDescent="0.2">
      <c r="A1665" t="s">
        <v>51</v>
      </c>
      <c r="B1665" t="s">
        <v>113</v>
      </c>
      <c r="C1665" s="4">
        <v>1</v>
      </c>
      <c r="G1665" t="s">
        <v>279</v>
      </c>
    </row>
    <row r="1666" spans="1:7" hidden="1" x14ac:dyDescent="0.2">
      <c r="A1666" t="s">
        <v>43</v>
      </c>
      <c r="B1666" t="s">
        <v>122</v>
      </c>
      <c r="C1666" s="4">
        <v>7.152586937448005E-2</v>
      </c>
      <c r="G1666" t="s">
        <v>279</v>
      </c>
    </row>
    <row r="1667" spans="1:7" hidden="1" x14ac:dyDescent="0.2">
      <c r="A1667" t="s">
        <v>40</v>
      </c>
      <c r="B1667" t="s">
        <v>122</v>
      </c>
      <c r="C1667" s="4">
        <v>6.619091709762652E-2</v>
      </c>
      <c r="G1667" t="s">
        <v>279</v>
      </c>
    </row>
    <row r="1668" spans="1:7" hidden="1" x14ac:dyDescent="0.2">
      <c r="A1668" t="s">
        <v>35</v>
      </c>
      <c r="B1668" t="s">
        <v>122</v>
      </c>
      <c r="C1668" s="4">
        <v>0.32627129237031272</v>
      </c>
      <c r="G1668" t="s">
        <v>279</v>
      </c>
    </row>
    <row r="1669" spans="1:7" hidden="1" x14ac:dyDescent="0.2">
      <c r="A1669" t="s">
        <v>36</v>
      </c>
      <c r="B1669" t="s">
        <v>122</v>
      </c>
      <c r="C1669" s="4">
        <v>4.704873260447303E-2</v>
      </c>
      <c r="G1669" t="s">
        <v>279</v>
      </c>
    </row>
    <row r="1670" spans="1:7" hidden="1" x14ac:dyDescent="0.2">
      <c r="A1670" t="s">
        <v>46</v>
      </c>
      <c r="B1670" t="s">
        <v>122</v>
      </c>
      <c r="C1670" s="4">
        <v>0.32394181958227231</v>
      </c>
      <c r="G1670" t="s">
        <v>279</v>
      </c>
    </row>
    <row r="1671" spans="1:7" hidden="1" x14ac:dyDescent="0.2">
      <c r="A1671" t="s">
        <v>43</v>
      </c>
      <c r="B1671" t="s">
        <v>114</v>
      </c>
      <c r="C1671" s="4">
        <v>3.3280057507939372E-3</v>
      </c>
      <c r="G1671" t="s">
        <v>279</v>
      </c>
    </row>
    <row r="1672" spans="1:7" hidden="1" x14ac:dyDescent="0.2">
      <c r="A1672" t="s">
        <v>40</v>
      </c>
      <c r="B1672" t="s">
        <v>114</v>
      </c>
      <c r="C1672" s="4">
        <v>2.6057364419190029E-2</v>
      </c>
      <c r="G1672" t="s">
        <v>279</v>
      </c>
    </row>
    <row r="1673" spans="1:7" hidden="1" x14ac:dyDescent="0.2">
      <c r="A1673" t="s">
        <v>35</v>
      </c>
      <c r="B1673" t="s">
        <v>114</v>
      </c>
      <c r="C1673" s="4">
        <v>3.1530766934105121E-3</v>
      </c>
      <c r="G1673" t="s">
        <v>279</v>
      </c>
    </row>
    <row r="1674" spans="1:7" hidden="1" x14ac:dyDescent="0.2">
      <c r="A1674" t="s">
        <v>36</v>
      </c>
      <c r="B1674" t="s">
        <v>114</v>
      </c>
      <c r="C1674" s="4">
        <v>2.2295556021904271E-2</v>
      </c>
      <c r="G1674" t="s">
        <v>279</v>
      </c>
    </row>
    <row r="1675" spans="1:7" hidden="1" x14ac:dyDescent="0.2">
      <c r="A1675" t="s">
        <v>34</v>
      </c>
      <c r="B1675" t="s">
        <v>158</v>
      </c>
      <c r="C1675" s="4">
        <v>6.4325017553644032E-2</v>
      </c>
      <c r="G1675" t="s">
        <v>279</v>
      </c>
    </row>
    <row r="1676" spans="1:7" hidden="1" x14ac:dyDescent="0.2">
      <c r="A1676" t="s">
        <v>52</v>
      </c>
      <c r="B1676" t="s">
        <v>124</v>
      </c>
      <c r="C1676" s="4">
        <f>(0.00247367761416449/(0.00247367761416449+0.832079466311379+0.0127000784696626))*0.66202407676577%</f>
        <v>1.9328744883421822E-5</v>
      </c>
      <c r="D1676" t="s">
        <v>242</v>
      </c>
      <c r="E1676" t="s">
        <v>396</v>
      </c>
      <c r="F1676" t="s">
        <v>394</v>
      </c>
      <c r="G1676" s="4" t="s">
        <v>245</v>
      </c>
    </row>
    <row r="1677" spans="1:7" hidden="1" x14ac:dyDescent="0.2">
      <c r="A1677" t="s">
        <v>52</v>
      </c>
      <c r="B1677" t="s">
        <v>124</v>
      </c>
      <c r="C1677" s="4">
        <f>(0.832079466311379/(0.00247367761416449+0.832079466311379+0.0127000784696626)) * 0.66202407676577%</f>
        <v>6.5016765462780979E-3</v>
      </c>
      <c r="D1677" t="s">
        <v>242</v>
      </c>
      <c r="E1677" t="s">
        <v>316</v>
      </c>
      <c r="F1677" t="s">
        <v>394</v>
      </c>
      <c r="G1677" s="4" t="s">
        <v>245</v>
      </c>
    </row>
    <row r="1678" spans="1:7" hidden="1" x14ac:dyDescent="0.2">
      <c r="A1678" t="s">
        <v>52</v>
      </c>
      <c r="B1678" t="s">
        <v>124</v>
      </c>
      <c r="C1678" s="4">
        <f>(0.0127000784696626/(0.00247367761416449+0.832079466311379+0.0127000784696626)) * 0.66202407676577%</f>
        <v>9.923547649617991E-5</v>
      </c>
      <c r="D1678" t="s">
        <v>256</v>
      </c>
      <c r="E1678" t="s">
        <v>281</v>
      </c>
      <c r="F1678" t="s">
        <v>394</v>
      </c>
      <c r="G1678" s="4" t="s">
        <v>245</v>
      </c>
    </row>
    <row r="1679" spans="1:7" hidden="1" x14ac:dyDescent="0.2">
      <c r="A1679" t="s">
        <v>52</v>
      </c>
      <c r="B1679" t="s">
        <v>83</v>
      </c>
      <c r="C1679" s="4">
        <f>(0.00247367761416449/(0.00247367761416449+0.832079466311379+0.0127000784696626))*10.1515487018672%</f>
        <v>2.9638906184290686E-4</v>
      </c>
      <c r="D1679" t="s">
        <v>242</v>
      </c>
      <c r="E1679" t="s">
        <v>396</v>
      </c>
      <c r="F1679" t="s">
        <v>394</v>
      </c>
      <c r="G1679" s="4" t="s">
        <v>245</v>
      </c>
    </row>
    <row r="1680" spans="1:7" hidden="1" x14ac:dyDescent="0.2">
      <c r="A1680" t="s">
        <v>52</v>
      </c>
      <c r="B1680" t="s">
        <v>83</v>
      </c>
      <c r="C1680" s="4">
        <f>(0.832079466311379/(0.00247367761416449+0.832079466311379+0.0127000784696626)) * 10.1515487018672%</f>
        <v>9.9697410441285175E-2</v>
      </c>
      <c r="D1680" t="s">
        <v>242</v>
      </c>
      <c r="E1680" t="s">
        <v>316</v>
      </c>
      <c r="F1680" t="s">
        <v>394</v>
      </c>
      <c r="G1680" s="4" t="s">
        <v>245</v>
      </c>
    </row>
    <row r="1681" spans="1:7" hidden="1" x14ac:dyDescent="0.2">
      <c r="A1681" t="s">
        <v>52</v>
      </c>
      <c r="B1681" t="s">
        <v>83</v>
      </c>
      <c r="C1681" s="4">
        <f>(0.0127000784696626/(0.00247367761416449+0.832079466311379+0.0127000784696626)) * 10.1515487018672%</f>
        <v>1.5216875155439297E-3</v>
      </c>
      <c r="D1681" t="s">
        <v>256</v>
      </c>
      <c r="E1681" t="s">
        <v>281</v>
      </c>
      <c r="F1681" t="s">
        <v>394</v>
      </c>
      <c r="G1681" s="4" t="s">
        <v>245</v>
      </c>
    </row>
    <row r="1682" spans="1:7" hidden="1" x14ac:dyDescent="0.2">
      <c r="A1682" t="s">
        <v>52</v>
      </c>
      <c r="B1682" t="s">
        <v>144</v>
      </c>
      <c r="C1682" s="4">
        <f>(0.00247367761416449/(0.00247367761416449+0.832079466311379+0.0127000784696626))*2.05790005053692%</f>
        <v>6.0083351147487539E-5</v>
      </c>
      <c r="D1682" t="s">
        <v>242</v>
      </c>
      <c r="E1682" t="s">
        <v>396</v>
      </c>
      <c r="F1682" t="s">
        <v>394</v>
      </c>
      <c r="G1682" s="4" t="s">
        <v>245</v>
      </c>
    </row>
    <row r="1683" spans="1:7" hidden="1" x14ac:dyDescent="0.2">
      <c r="A1683" t="s">
        <v>52</v>
      </c>
      <c r="B1683" t="s">
        <v>144</v>
      </c>
      <c r="C1683" s="4">
        <f>(0.832079466311379/(0.00247367761416449+0.832079466311379+0.0127000784696626)) * 2.05790005053692%</f>
        <v>2.0210443944162319E-2</v>
      </c>
      <c r="D1683" t="s">
        <v>242</v>
      </c>
      <c r="E1683" t="s">
        <v>316</v>
      </c>
      <c r="F1683" t="s">
        <v>394</v>
      </c>
      <c r="G1683" s="4" t="s">
        <v>245</v>
      </c>
    </row>
    <row r="1684" spans="1:7" hidden="1" x14ac:dyDescent="0.2">
      <c r="A1684" t="s">
        <v>52</v>
      </c>
      <c r="B1684" t="s">
        <v>144</v>
      </c>
      <c r="C1684" s="4">
        <f>(0.0127000784696626/(0.00247367761416449+0.832079466311379+0.0127000784696626)) * 2.05790005053692%</f>
        <v>3.0847321005939438E-4</v>
      </c>
      <c r="D1684" t="s">
        <v>256</v>
      </c>
      <c r="E1684" t="s">
        <v>281</v>
      </c>
      <c r="F1684" t="s">
        <v>394</v>
      </c>
      <c r="G1684" s="4" t="s">
        <v>245</v>
      </c>
    </row>
    <row r="1685" spans="1:7" hidden="1" x14ac:dyDescent="0.2">
      <c r="A1685" t="s">
        <v>52</v>
      </c>
      <c r="B1685" t="s">
        <v>84</v>
      </c>
      <c r="C1685" s="4">
        <f>(0.00247367761416449/(0.00247367761416449+0.832079466311379+0.0127000784696626))*0.104461332435132%</f>
        <v>3.0498988113620556E-6</v>
      </c>
      <c r="D1685" t="s">
        <v>242</v>
      </c>
      <c r="E1685" t="s">
        <v>396</v>
      </c>
      <c r="F1685" t="s">
        <v>394</v>
      </c>
      <c r="G1685" s="4" t="s">
        <v>245</v>
      </c>
    </row>
    <row r="1686" spans="1:7" hidden="1" x14ac:dyDescent="0.2">
      <c r="A1686" t="s">
        <v>52</v>
      </c>
      <c r="B1686" t="s">
        <v>84</v>
      </c>
      <c r="C1686" s="4">
        <f>(0.832079466311379/(0.00247367761416449+0.832079466311379+0.0127000784696626)) * 0.104461332435132%</f>
        <v>1.0259049767562382E-3</v>
      </c>
      <c r="D1686" t="s">
        <v>242</v>
      </c>
      <c r="E1686" t="s">
        <v>316</v>
      </c>
      <c r="F1686" t="s">
        <v>394</v>
      </c>
      <c r="G1686" s="4" t="s">
        <v>245</v>
      </c>
    </row>
    <row r="1687" spans="1:7" hidden="1" x14ac:dyDescent="0.2">
      <c r="A1687" t="s">
        <v>52</v>
      </c>
      <c r="B1687" t="s">
        <v>84</v>
      </c>
      <c r="C1687" s="4">
        <f>(0.0127000784696626/(0.00247367761416449+0.832079466311379+0.0127000784696626)) * 0.104461332435132%</f>
        <v>1.5658448783719776E-5</v>
      </c>
      <c r="D1687" t="s">
        <v>256</v>
      </c>
      <c r="E1687" t="s">
        <v>281</v>
      </c>
      <c r="F1687" t="s">
        <v>394</v>
      </c>
      <c r="G1687" s="4" t="s">
        <v>245</v>
      </c>
    </row>
    <row r="1688" spans="1:7" hidden="1" x14ac:dyDescent="0.2">
      <c r="A1688" t="s">
        <v>52</v>
      </c>
      <c r="B1688" t="s">
        <v>85</v>
      </c>
      <c r="C1688" s="4">
        <f>(0.00247367761416449/(0.00247367761416449+0.832079466311379+0.0127000784696626))*0.13608515519626%</f>
        <v>3.9732017905747833E-6</v>
      </c>
      <c r="D1688" t="s">
        <v>242</v>
      </c>
      <c r="E1688" t="s">
        <v>396</v>
      </c>
      <c r="F1688" t="s">
        <v>394</v>
      </c>
      <c r="G1688" s="4" t="s">
        <v>245</v>
      </c>
    </row>
    <row r="1689" spans="1:7" hidden="1" x14ac:dyDescent="0.2">
      <c r="A1689" t="s">
        <v>52</v>
      </c>
      <c r="B1689" t="s">
        <v>85</v>
      </c>
      <c r="C1689" s="4">
        <f>(0.832079466311379/(0.00247367761416449+0.832079466311379+0.0127000784696626)) * 0.13608515519626%</f>
        <v>1.3364795826741242E-3</v>
      </c>
      <c r="D1689" t="s">
        <v>242</v>
      </c>
      <c r="E1689" t="s">
        <v>316</v>
      </c>
      <c r="F1689" t="s">
        <v>394</v>
      </c>
      <c r="G1689" s="4" t="s">
        <v>245</v>
      </c>
    </row>
    <row r="1690" spans="1:7" hidden="1" x14ac:dyDescent="0.2">
      <c r="A1690" t="s">
        <v>52</v>
      </c>
      <c r="B1690" t="s">
        <v>85</v>
      </c>
      <c r="C1690" s="4">
        <f>(0.0127000784696626/(0.00247367761416449+0.832079466311379+0.0127000784696626)) * 0.13608515519626%</f>
        <v>2.0398767497900923E-5</v>
      </c>
      <c r="D1690" t="s">
        <v>256</v>
      </c>
      <c r="E1690" t="s">
        <v>281</v>
      </c>
      <c r="F1690" t="s">
        <v>394</v>
      </c>
      <c r="G1690" s="4" t="s">
        <v>245</v>
      </c>
    </row>
    <row r="1691" spans="1:7" hidden="1" x14ac:dyDescent="0.2">
      <c r="A1691" t="s">
        <v>52</v>
      </c>
      <c r="B1691" t="s">
        <v>147</v>
      </c>
      <c r="C1691" s="4">
        <f>(0.00247367761416449/(0.00247367761416449+0.832079466311379+0.0127000784696626))*0.388223402048454%</f>
        <v>1.1334740471415824E-5</v>
      </c>
      <c r="D1691" t="s">
        <v>242</v>
      </c>
      <c r="E1691" t="s">
        <v>396</v>
      </c>
      <c r="F1691" t="s">
        <v>394</v>
      </c>
      <c r="G1691" s="4" t="s">
        <v>245</v>
      </c>
    </row>
    <row r="1692" spans="1:7" hidden="1" x14ac:dyDescent="0.2">
      <c r="A1692" t="s">
        <v>52</v>
      </c>
      <c r="B1692" t="s">
        <v>147</v>
      </c>
      <c r="C1692" s="4">
        <f>(0.832079466311379/(0.00247367761416449+0.832079466311379+0.0127000784696626)) * 0.388223402048454%</f>
        <v>3.8127057253655992E-3</v>
      </c>
      <c r="D1692" t="s">
        <v>242</v>
      </c>
      <c r="E1692" t="s">
        <v>316</v>
      </c>
      <c r="F1692" t="s">
        <v>394</v>
      </c>
      <c r="G1692" s="4" t="s">
        <v>245</v>
      </c>
    </row>
    <row r="1693" spans="1:7" hidden="1" x14ac:dyDescent="0.2">
      <c r="A1693" t="s">
        <v>52</v>
      </c>
      <c r="B1693" t="s">
        <v>147</v>
      </c>
      <c r="C1693" s="4">
        <f>(0.0127000784696626/(0.00247367761416449+0.832079466311379+0.0127000784696626)) * 0.388223402048454%</f>
        <v>5.8193554647525367E-5</v>
      </c>
      <c r="D1693" t="s">
        <v>256</v>
      </c>
      <c r="E1693" t="s">
        <v>281</v>
      </c>
      <c r="F1693" t="s">
        <v>394</v>
      </c>
      <c r="G1693" s="4" t="s">
        <v>245</v>
      </c>
    </row>
    <row r="1694" spans="1:7" hidden="1" x14ac:dyDescent="0.2">
      <c r="A1694" t="s">
        <v>52</v>
      </c>
      <c r="B1694" t="s">
        <v>116</v>
      </c>
      <c r="C1694" s="4">
        <v>4.0464068999465953E-3</v>
      </c>
      <c r="D1694" t="s">
        <v>289</v>
      </c>
      <c r="E1694" t="s">
        <v>310</v>
      </c>
      <c r="F1694" t="s">
        <v>394</v>
      </c>
      <c r="G1694" s="4" t="s">
        <v>245</v>
      </c>
    </row>
    <row r="1695" spans="1:7" hidden="1" x14ac:dyDescent="0.2">
      <c r="A1695" t="s">
        <v>52</v>
      </c>
      <c r="B1695" t="s">
        <v>145</v>
      </c>
      <c r="C1695" s="4">
        <f>(0.00247367761416449/(0.00247367761416449+0.832079466311379+0.0127000784696626))*0.017697976276407%</f>
        <v>5.167178663209758E-7</v>
      </c>
      <c r="D1695" t="s">
        <v>242</v>
      </c>
      <c r="E1695" t="s">
        <v>396</v>
      </c>
      <c r="F1695" t="s">
        <v>394</v>
      </c>
      <c r="G1695" s="4" t="s">
        <v>245</v>
      </c>
    </row>
    <row r="1696" spans="1:7" hidden="1" x14ac:dyDescent="0.2">
      <c r="A1696" t="s">
        <v>52</v>
      </c>
      <c r="B1696" t="s">
        <v>145</v>
      </c>
      <c r="C1696" s="4">
        <f>(0.832079466311379/(0.00247367761416449+0.832079466311379+0.0127000784696626)) * 0.017697976276407%</f>
        <v>1.7381016991865862E-4</v>
      </c>
      <c r="D1696" t="s">
        <v>242</v>
      </c>
      <c r="E1696" t="s">
        <v>316</v>
      </c>
      <c r="F1696" t="s">
        <v>394</v>
      </c>
      <c r="G1696" s="4" t="s">
        <v>245</v>
      </c>
    </row>
    <row r="1697" spans="1:7" hidden="1" x14ac:dyDescent="0.2">
      <c r="A1697" t="s">
        <v>52</v>
      </c>
      <c r="B1697" t="s">
        <v>145</v>
      </c>
      <c r="C1697" s="4">
        <f>(0.0127000784696626/(0.00247367761416449+0.832079466311379+0.0127000784696626)) * 0.017697976276407%</f>
        <v>2.6528749790904043E-6</v>
      </c>
      <c r="D1697" t="s">
        <v>256</v>
      </c>
      <c r="E1697" t="s">
        <v>281</v>
      </c>
      <c r="F1697" t="s">
        <v>394</v>
      </c>
      <c r="G1697" s="4" t="s">
        <v>245</v>
      </c>
    </row>
    <row r="1698" spans="1:7" hidden="1" x14ac:dyDescent="0.2">
      <c r="A1698" t="s">
        <v>52</v>
      </c>
      <c r="B1698" t="s">
        <v>86</v>
      </c>
      <c r="C1698" s="4">
        <f>(0.00247367761416449/(0.00247367761416449+0.832079466311379+0.0127000784696626))*41.5317740523103%</f>
        <v>1.2125798643680546E-3</v>
      </c>
      <c r="D1698" t="s">
        <v>242</v>
      </c>
      <c r="E1698" t="s">
        <v>396</v>
      </c>
      <c r="F1698" t="s">
        <v>394</v>
      </c>
      <c r="G1698" s="4" t="s">
        <v>245</v>
      </c>
    </row>
    <row r="1699" spans="1:7" hidden="1" x14ac:dyDescent="0.2">
      <c r="A1699" t="s">
        <v>52</v>
      </c>
      <c r="B1699" t="s">
        <v>86</v>
      </c>
      <c r="C1699" s="4">
        <f>(0.832079466311379/(0.00247367761416449+0.832079466311379+0.0127000784696626)) * 41.5317740523103%</f>
        <v>0.40787966896975081</v>
      </c>
      <c r="D1699" t="s">
        <v>242</v>
      </c>
      <c r="E1699" t="s">
        <v>316</v>
      </c>
      <c r="F1699" t="s">
        <v>394</v>
      </c>
      <c r="G1699" s="4" t="s">
        <v>245</v>
      </c>
    </row>
    <row r="1700" spans="1:7" hidden="1" x14ac:dyDescent="0.2">
      <c r="A1700" t="s">
        <v>52</v>
      </c>
      <c r="B1700" t="s">
        <v>86</v>
      </c>
      <c r="C1700" s="4">
        <f>(0.0127000784696626/(0.00247367761416449+0.832079466311379+0.0127000784696626)) * 41.5317740523103%</f>
        <v>6.2254916889841307E-3</v>
      </c>
      <c r="D1700" t="s">
        <v>256</v>
      </c>
      <c r="E1700" t="s">
        <v>281</v>
      </c>
      <c r="F1700" t="s">
        <v>394</v>
      </c>
      <c r="G1700" s="4" t="s">
        <v>245</v>
      </c>
    </row>
    <row r="1701" spans="1:7" hidden="1" x14ac:dyDescent="0.2">
      <c r="A1701" t="s">
        <v>52</v>
      </c>
      <c r="B1701" t="s">
        <v>160</v>
      </c>
      <c r="C1701" s="4">
        <f>(0.00247367761416449/(0.00247367761416449+0.832079466311379+0.0127000784696626))*0.532818796763154%</f>
        <v>1.5556410942091104E-5</v>
      </c>
      <c r="D1701" t="s">
        <v>242</v>
      </c>
      <c r="E1701" t="s">
        <v>396</v>
      </c>
      <c r="F1701" t="s">
        <v>394</v>
      </c>
      <c r="G1701" s="4" t="s">
        <v>245</v>
      </c>
    </row>
    <row r="1702" spans="1:7" hidden="1" x14ac:dyDescent="0.2">
      <c r="A1702" t="s">
        <v>52</v>
      </c>
      <c r="B1702" t="s">
        <v>160</v>
      </c>
      <c r="C1702" s="4">
        <f>(0.832079466311379/(0.00247367761416449+0.832079466311379+0.0127000784696626)) * 0.532818796763154%</f>
        <v>5.2327635744836894E-3</v>
      </c>
      <c r="D1702" t="s">
        <v>242</v>
      </c>
      <c r="E1702" t="s">
        <v>316</v>
      </c>
      <c r="F1702" t="s">
        <v>394</v>
      </c>
      <c r="G1702" s="4" t="s">
        <v>245</v>
      </c>
    </row>
    <row r="1703" spans="1:7" hidden="1" x14ac:dyDescent="0.2">
      <c r="A1703" t="s">
        <v>52</v>
      </c>
      <c r="B1703" t="s">
        <v>160</v>
      </c>
      <c r="C1703" s="4">
        <f>(0.0127000784696626/(0.00247367761416449+0.832079466311379+0.0127000784696626)) * 0.532818796763154%</f>
        <v>7.986798220575942E-5</v>
      </c>
      <c r="D1703" t="s">
        <v>256</v>
      </c>
      <c r="E1703" t="s">
        <v>281</v>
      </c>
      <c r="F1703" t="s">
        <v>394</v>
      </c>
      <c r="G1703" s="4" t="s">
        <v>245</v>
      </c>
    </row>
    <row r="1704" spans="1:7" hidden="1" x14ac:dyDescent="0.2">
      <c r="A1704" t="s">
        <v>52</v>
      </c>
      <c r="B1704" t="s">
        <v>154</v>
      </c>
      <c r="C1704" s="4">
        <f>(0.00247367761416449/(0.00247367761416449+0.832079466311379+0.0127000784696626))*0.0173133326823532%</f>
        <v>5.0548764349157434E-7</v>
      </c>
      <c r="D1704" t="s">
        <v>242</v>
      </c>
      <c r="E1704" t="s">
        <v>396</v>
      </c>
      <c r="F1704" t="s">
        <v>394</v>
      </c>
      <c r="G1704" s="4" t="s">
        <v>245</v>
      </c>
    </row>
    <row r="1705" spans="1:7" hidden="1" x14ac:dyDescent="0.2">
      <c r="A1705" t="s">
        <v>52</v>
      </c>
      <c r="B1705" t="s">
        <v>154</v>
      </c>
      <c r="C1705" s="4">
        <f>(0.832079466311379/(0.00247367761416449+0.832079466311379+0.0127000784696626)) * 0.0173133326823532%</f>
        <v>1.7003262115282948E-4</v>
      </c>
      <c r="D1705" t="s">
        <v>242</v>
      </c>
      <c r="E1705" t="s">
        <v>316</v>
      </c>
      <c r="F1705" t="s">
        <v>394</v>
      </c>
      <c r="G1705" s="4" t="s">
        <v>245</v>
      </c>
    </row>
    <row r="1706" spans="1:7" hidden="1" x14ac:dyDescent="0.2">
      <c r="A1706" t="s">
        <v>52</v>
      </c>
      <c r="B1706" t="s">
        <v>154</v>
      </c>
      <c r="C1706" s="4">
        <f>(0.0127000784696626/(0.00247367761416449+0.832079466311379+0.0127000784696626)) * 0.0173133326823532%</f>
        <v>2.5952180272109379E-6</v>
      </c>
      <c r="D1706" t="s">
        <v>256</v>
      </c>
      <c r="E1706" t="s">
        <v>281</v>
      </c>
      <c r="F1706" t="s">
        <v>394</v>
      </c>
      <c r="G1706" s="4" t="s">
        <v>245</v>
      </c>
    </row>
    <row r="1707" spans="1:7" hidden="1" x14ac:dyDescent="0.2">
      <c r="A1707" t="s">
        <v>52</v>
      </c>
      <c r="B1707" t="s">
        <v>169</v>
      </c>
      <c r="C1707" s="4">
        <f>(0.00247367761416449/(0.00247367761416449+0.832079466311379+0.0127000784696626))*0.0101143781436418%</f>
        <v>2.9530381394584682E-7</v>
      </c>
      <c r="D1707" t="s">
        <v>242</v>
      </c>
      <c r="E1707" t="s">
        <v>396</v>
      </c>
      <c r="F1707" t="s">
        <v>394</v>
      </c>
      <c r="G1707" s="4" t="s">
        <v>245</v>
      </c>
    </row>
    <row r="1708" spans="1:7" hidden="1" x14ac:dyDescent="0.2">
      <c r="A1708" t="s">
        <v>52</v>
      </c>
      <c r="B1708" t="s">
        <v>169</v>
      </c>
      <c r="C1708" s="4">
        <f>(0.832079466311379/(0.00247367761416449+0.832079466311379+0.0127000784696626)) * 0.0101143781436418%</f>
        <v>9.9332361865096214E-5</v>
      </c>
      <c r="D1708" t="s">
        <v>242</v>
      </c>
      <c r="E1708" t="s">
        <v>316</v>
      </c>
      <c r="F1708" t="s">
        <v>394</v>
      </c>
      <c r="G1708" s="4" t="s">
        <v>245</v>
      </c>
    </row>
    <row r="1709" spans="1:7" hidden="1" x14ac:dyDescent="0.2">
      <c r="A1709" t="s">
        <v>52</v>
      </c>
      <c r="B1709" t="s">
        <v>169</v>
      </c>
      <c r="C1709" s="4">
        <f>(0.0127000784696626/(0.00247367761416449+0.832079466311379+0.0127000784696626)) * 0.0101143781436418%</f>
        <v>1.5161157573759383E-6</v>
      </c>
      <c r="D1709" t="s">
        <v>256</v>
      </c>
      <c r="E1709" t="s">
        <v>281</v>
      </c>
      <c r="F1709" t="s">
        <v>394</v>
      </c>
      <c r="G1709" s="4" t="s">
        <v>245</v>
      </c>
    </row>
    <row r="1710" spans="1:7" hidden="1" x14ac:dyDescent="0.2">
      <c r="A1710" t="s">
        <v>52</v>
      </c>
      <c r="B1710" t="s">
        <v>93</v>
      </c>
      <c r="C1710" s="4">
        <f>(0.00247367761416449/(0.00247367761416449+0.832079466311379+0.0127000784696626))*0.346253540797267%</f>
        <v>1.010937002132595E-5</v>
      </c>
      <c r="D1710" t="s">
        <v>242</v>
      </c>
      <c r="E1710" t="s">
        <v>396</v>
      </c>
      <c r="F1710" t="s">
        <v>394</v>
      </c>
      <c r="G1710" s="4" t="s">
        <v>245</v>
      </c>
    </row>
    <row r="1711" spans="1:7" hidden="1" x14ac:dyDescent="0.2">
      <c r="A1711" t="s">
        <v>52</v>
      </c>
      <c r="B1711" t="s">
        <v>93</v>
      </c>
      <c r="C1711" s="4">
        <f>(0.832079466311379/(0.00247367761416449+0.832079466311379+0.0127000784696626)) * 0.346253540797267%</f>
        <v>3.4005236429850302E-3</v>
      </c>
      <c r="D1711" t="s">
        <v>242</v>
      </c>
      <c r="E1711" t="s">
        <v>316</v>
      </c>
      <c r="F1711" t="s">
        <v>394</v>
      </c>
      <c r="G1711" s="4" t="s">
        <v>245</v>
      </c>
    </row>
    <row r="1712" spans="1:7" hidden="1" x14ac:dyDescent="0.2">
      <c r="A1712" t="s">
        <v>52</v>
      </c>
      <c r="B1712" t="s">
        <v>93</v>
      </c>
      <c r="C1712" s="4">
        <f>(0.0127000784696626/(0.00247367761416449+0.832079466311379+0.0127000784696626)) * 0.346253540797267%</f>
        <v>5.1902394966313831E-5</v>
      </c>
      <c r="D1712" t="s">
        <v>256</v>
      </c>
      <c r="E1712" t="s">
        <v>281</v>
      </c>
      <c r="F1712" t="s">
        <v>394</v>
      </c>
      <c r="G1712" s="4" t="s">
        <v>245</v>
      </c>
    </row>
    <row r="1713" spans="1:7" hidden="1" x14ac:dyDescent="0.2">
      <c r="A1713" t="s">
        <v>52</v>
      </c>
      <c r="B1713" t="s">
        <v>196</v>
      </c>
      <c r="C1713" s="4">
        <f>(0.00247367761416449/(0.00247367761416449+0.832079466311379+0.0127000784696626))*0.021850378712215%</f>
        <v>6.3795322641110312E-7</v>
      </c>
      <c r="D1713" t="s">
        <v>242</v>
      </c>
      <c r="E1713" t="s">
        <v>396</v>
      </c>
      <c r="F1713" t="s">
        <v>394</v>
      </c>
      <c r="G1713" s="4" t="s">
        <v>245</v>
      </c>
    </row>
    <row r="1714" spans="1:7" hidden="1" x14ac:dyDescent="0.2">
      <c r="A1714" t="s">
        <v>52</v>
      </c>
      <c r="B1714" t="s">
        <v>196</v>
      </c>
      <c r="C1714" s="4">
        <f>(0.832079466311379/(0.00247367761416449+0.832079466311379+0.0127000784696626)) * 0.021850378712215%</f>
        <v>2.1459052591340426E-4</v>
      </c>
      <c r="D1714" t="s">
        <v>242</v>
      </c>
      <c r="E1714" t="s">
        <v>316</v>
      </c>
      <c r="F1714" t="s">
        <v>394</v>
      </c>
      <c r="G1714" s="4" t="s">
        <v>245</v>
      </c>
    </row>
    <row r="1715" spans="1:7" hidden="1" x14ac:dyDescent="0.2">
      <c r="A1715" t="s">
        <v>52</v>
      </c>
      <c r="B1715" t="s">
        <v>196</v>
      </c>
      <c r="C1715" s="4">
        <f>(0.0127000784696626/(0.00247367761416449+0.832079466311379+0.0127000784696626)) * 0.021850378712215%</f>
        <v>3.275307982334632E-6</v>
      </c>
      <c r="D1715" t="s">
        <v>256</v>
      </c>
      <c r="E1715" t="s">
        <v>281</v>
      </c>
      <c r="F1715" t="s">
        <v>394</v>
      </c>
      <c r="G1715" s="4" t="s">
        <v>245</v>
      </c>
    </row>
    <row r="1716" spans="1:7" hidden="1" x14ac:dyDescent="0.2">
      <c r="A1716" t="s">
        <v>52</v>
      </c>
      <c r="B1716" t="s">
        <v>197</v>
      </c>
      <c r="C1716" s="4">
        <f>(0.00247367761416449/(0.00247367761416449+0.832079466311379+0.0127000784696626))*0.206579835706482%</f>
        <v>6.0313953563995811E-6</v>
      </c>
      <c r="D1716" t="s">
        <v>242</v>
      </c>
      <c r="E1716" t="s">
        <v>396</v>
      </c>
      <c r="F1716" t="s">
        <v>394</v>
      </c>
      <c r="G1716" s="4" t="s">
        <v>245</v>
      </c>
    </row>
    <row r="1717" spans="1:7" hidden="1" x14ac:dyDescent="0.2">
      <c r="A1717" t="s">
        <v>52</v>
      </c>
      <c r="B1717" t="s">
        <v>197</v>
      </c>
      <c r="C1717" s="4">
        <f>(0.832079466311379/(0.00247367761416449+0.832079466311379+0.0127000784696626)) * 0.206579835706482%</f>
        <v>2.0288012473933378E-3</v>
      </c>
      <c r="D1717" t="s">
        <v>242</v>
      </c>
      <c r="E1717" t="s">
        <v>316</v>
      </c>
      <c r="F1717" t="s">
        <v>394</v>
      </c>
      <c r="G1717" s="4" t="s">
        <v>245</v>
      </c>
    </row>
    <row r="1718" spans="1:7" hidden="1" x14ac:dyDescent="0.2">
      <c r="A1718" t="s">
        <v>52</v>
      </c>
      <c r="B1718" t="s">
        <v>197</v>
      </c>
      <c r="C1718" s="4">
        <f>(0.0127000784696626/(0.00247367761416449+0.832079466311379+0.0127000784696626)) * 0.206579835706482%</f>
        <v>3.0965714315082838E-5</v>
      </c>
      <c r="D1718" t="s">
        <v>256</v>
      </c>
      <c r="E1718" t="s">
        <v>281</v>
      </c>
      <c r="F1718" t="s">
        <v>394</v>
      </c>
      <c r="G1718" s="4" t="s">
        <v>245</v>
      </c>
    </row>
    <row r="1719" spans="1:7" hidden="1" x14ac:dyDescent="0.2">
      <c r="A1719" t="s">
        <v>52</v>
      </c>
      <c r="B1719" t="s">
        <v>97</v>
      </c>
      <c r="C1719" s="4">
        <f>(0.00247367761416449/(0.00247367761416449+0.832079466311379+0.0127000784696626))*4.30148242515338%</f>
        <v>1.2558796474970013E-4</v>
      </c>
      <c r="D1719" t="s">
        <v>242</v>
      </c>
      <c r="E1719" t="s">
        <v>396</v>
      </c>
      <c r="F1719" t="s">
        <v>394</v>
      </c>
      <c r="G1719" s="4" t="s">
        <v>245</v>
      </c>
    </row>
    <row r="1720" spans="1:7" hidden="1" x14ac:dyDescent="0.2">
      <c r="A1720" t="s">
        <v>52</v>
      </c>
      <c r="B1720" t="s">
        <v>97</v>
      </c>
      <c r="C1720" s="4">
        <f>(0.832079466311379/(0.00247367761416449+0.832079466311379+0.0127000784696626)) * 4.30148242515338%</f>
        <v>4.2244456628338131E-2</v>
      </c>
      <c r="D1720" t="s">
        <v>242</v>
      </c>
      <c r="E1720" t="s">
        <v>316</v>
      </c>
      <c r="F1720" t="s">
        <v>394</v>
      </c>
      <c r="G1720" s="4" t="s">
        <v>245</v>
      </c>
    </row>
    <row r="1721" spans="1:7" hidden="1" x14ac:dyDescent="0.2">
      <c r="A1721" t="s">
        <v>52</v>
      </c>
      <c r="B1721" t="s">
        <v>97</v>
      </c>
      <c r="C1721" s="4">
        <f>(0.0127000784696626/(0.00247367761416449+0.832079466311379+0.0127000784696626)) * 4.30148242515338%</f>
        <v>6.447796584459661E-4</v>
      </c>
      <c r="D1721" t="s">
        <v>256</v>
      </c>
      <c r="E1721" t="s">
        <v>281</v>
      </c>
      <c r="F1721" t="s">
        <v>394</v>
      </c>
      <c r="G1721" s="4" t="s">
        <v>245</v>
      </c>
    </row>
    <row r="1722" spans="1:7" hidden="1" x14ac:dyDescent="0.2">
      <c r="A1722" t="s">
        <v>52</v>
      </c>
      <c r="B1722" t="s">
        <v>98</v>
      </c>
      <c r="C1722" s="4">
        <f>(0.00247367761416449/(0.00247367761416449+0.832079466311379+0.0127000784696626))*0.193458244009329%</f>
        <v>5.6482916185147873E-6</v>
      </c>
      <c r="D1722" t="s">
        <v>242</v>
      </c>
      <c r="E1722" t="s">
        <v>396</v>
      </c>
      <c r="F1722" t="s">
        <v>394</v>
      </c>
      <c r="G1722" s="4" t="s">
        <v>245</v>
      </c>
    </row>
    <row r="1723" spans="1:7" hidden="1" x14ac:dyDescent="0.2">
      <c r="A1723" t="s">
        <v>52</v>
      </c>
      <c r="B1723" t="s">
        <v>98</v>
      </c>
      <c r="C1723" s="4">
        <f>(0.832079466311379/(0.00247367761416449+0.832079466311379+0.0127000784696626)) * 0.193458244009329%</f>
        <v>1.8999353224499443E-3</v>
      </c>
      <c r="D1723" t="s">
        <v>242</v>
      </c>
      <c r="E1723" t="s">
        <v>316</v>
      </c>
      <c r="F1723" t="s">
        <v>394</v>
      </c>
      <c r="G1723" s="4" t="s">
        <v>245</v>
      </c>
    </row>
    <row r="1724" spans="1:7" hidden="1" x14ac:dyDescent="0.2">
      <c r="A1724" t="s">
        <v>52</v>
      </c>
      <c r="B1724" t="s">
        <v>98</v>
      </c>
      <c r="C1724" s="4">
        <f>(0.0127000784696626/(0.00247367761416449+0.832079466311379+0.0127000784696626)) * 0.193458244009329%</f>
        <v>2.8998826024831122E-5</v>
      </c>
      <c r="D1724" t="s">
        <v>256</v>
      </c>
      <c r="E1724" t="s">
        <v>281</v>
      </c>
      <c r="F1724" t="s">
        <v>394</v>
      </c>
      <c r="G1724" s="4" t="s">
        <v>245</v>
      </c>
    </row>
    <row r="1725" spans="1:7" hidden="1" x14ac:dyDescent="0.2">
      <c r="A1725" t="s">
        <v>52</v>
      </c>
      <c r="B1725" t="s">
        <v>99</v>
      </c>
      <c r="C1725" s="4">
        <f>(0.00247367761416449/(0.00247367761416449+0.832079466311379+0.0127000784696626))*1.35543157404638%</f>
        <v>3.957377385678787E-5</v>
      </c>
      <c r="D1725" t="s">
        <v>242</v>
      </c>
      <c r="E1725" t="s">
        <v>396</v>
      </c>
      <c r="F1725" t="s">
        <v>394</v>
      </c>
      <c r="G1725" s="4" t="s">
        <v>245</v>
      </c>
    </row>
    <row r="1726" spans="1:7" hidden="1" x14ac:dyDescent="0.2">
      <c r="A1726" t="s">
        <v>52</v>
      </c>
      <c r="B1726" t="s">
        <v>99</v>
      </c>
      <c r="C1726" s="4">
        <f>(0.832079466311379/(0.00247367761416449+0.832079466311379+0.0127000784696626)) * 1.35543157404638%</f>
        <v>1.3311566730495397E-2</v>
      </c>
      <c r="D1726" t="s">
        <v>242</v>
      </c>
      <c r="E1726" t="s">
        <v>316</v>
      </c>
      <c r="F1726" t="s">
        <v>394</v>
      </c>
      <c r="G1726" s="4" t="s">
        <v>245</v>
      </c>
    </row>
    <row r="1727" spans="1:7" hidden="1" x14ac:dyDescent="0.2">
      <c r="A1727" t="s">
        <v>52</v>
      </c>
      <c r="B1727" t="s">
        <v>99</v>
      </c>
      <c r="C1727" s="4">
        <f>(0.0127000784696626/(0.00247367761416449+0.832079466311379+0.0127000784696626)) * 1.35543157404638%</f>
        <v>2.0317523611161566E-4</v>
      </c>
      <c r="D1727" t="s">
        <v>256</v>
      </c>
      <c r="E1727" t="s">
        <v>281</v>
      </c>
      <c r="F1727" t="s">
        <v>394</v>
      </c>
      <c r="G1727" s="4" t="s">
        <v>245</v>
      </c>
    </row>
    <row r="1728" spans="1:7" hidden="1" x14ac:dyDescent="0.2">
      <c r="A1728" t="s">
        <v>52</v>
      </c>
      <c r="B1728" t="s">
        <v>118</v>
      </c>
      <c r="C1728" s="4">
        <f>(0.00247367761416449/(0.00247367761416449+0.832079466311379+0.0127000784696626))*0.338696168364096%</f>
        <v>9.8887216659619042E-6</v>
      </c>
      <c r="D1728" t="s">
        <v>242</v>
      </c>
      <c r="E1728" t="s">
        <v>396</v>
      </c>
      <c r="F1728" t="s">
        <v>394</v>
      </c>
      <c r="G1728" s="4" t="s">
        <v>245</v>
      </c>
    </row>
    <row r="1729" spans="1:7" hidden="1" x14ac:dyDescent="0.2">
      <c r="A1729" t="s">
        <v>52</v>
      </c>
      <c r="B1729" t="s">
        <v>118</v>
      </c>
      <c r="C1729" s="4">
        <f>(0.832079466311379/(0.00247367761416449+0.832079466311379+0.0127000784696626)) * 0.338696168364096%</f>
        <v>3.3263033950745886E-3</v>
      </c>
      <c r="D1729" t="s">
        <v>242</v>
      </c>
      <c r="E1729" t="s">
        <v>316</v>
      </c>
      <c r="F1729" t="s">
        <v>394</v>
      </c>
      <c r="G1729" s="4" t="s">
        <v>245</v>
      </c>
    </row>
    <row r="1730" spans="1:7" hidden="1" x14ac:dyDescent="0.2">
      <c r="A1730" t="s">
        <v>52</v>
      </c>
      <c r="B1730" t="s">
        <v>118</v>
      </c>
      <c r="C1730" s="4">
        <f>(0.0127000784696626/(0.00247367761416449+0.832079466311379+0.0127000784696626)) * 0.338696168364096%</f>
        <v>5.0769566900409267E-5</v>
      </c>
      <c r="D1730" t="s">
        <v>256</v>
      </c>
      <c r="E1730" t="s">
        <v>281</v>
      </c>
      <c r="F1730" t="s">
        <v>394</v>
      </c>
      <c r="G1730" s="4" t="s">
        <v>245</v>
      </c>
    </row>
    <row r="1731" spans="1:7" hidden="1" x14ac:dyDescent="0.2">
      <c r="A1731" t="s">
        <v>52</v>
      </c>
      <c r="B1731" t="s">
        <v>102</v>
      </c>
      <c r="C1731" s="4">
        <f>(0.00247367761416449/(0.00247367761416449+0.832079466311379+0.0127000784696626))*1.36723313886394%</f>
        <v>3.9918337511780879E-5</v>
      </c>
      <c r="D1731" t="s">
        <v>242</v>
      </c>
      <c r="E1731" t="s">
        <v>396</v>
      </c>
      <c r="F1731" t="s">
        <v>394</v>
      </c>
      <c r="G1731" s="4" t="s">
        <v>245</v>
      </c>
    </row>
    <row r="1732" spans="1:7" hidden="1" x14ac:dyDescent="0.2">
      <c r="A1732" t="s">
        <v>52</v>
      </c>
      <c r="B1732" t="s">
        <v>102</v>
      </c>
      <c r="C1732" s="4">
        <f>(0.832079466311379/(0.00247367761416449+0.832079466311379+0.0127000784696626)) * 1.36723313886394%</f>
        <v>1.3427468794901521E-2</v>
      </c>
      <c r="D1732" t="s">
        <v>242</v>
      </c>
      <c r="E1732" t="s">
        <v>316</v>
      </c>
      <c r="F1732" t="s">
        <v>394</v>
      </c>
      <c r="G1732" s="4" t="s">
        <v>245</v>
      </c>
    </row>
    <row r="1733" spans="1:7" hidden="1" x14ac:dyDescent="0.2">
      <c r="A1733" t="s">
        <v>52</v>
      </c>
      <c r="B1733" t="s">
        <v>102</v>
      </c>
      <c r="C1733" s="4">
        <f>(0.0127000784696626/(0.00247367761416449+0.832079466311379+0.0127000784696626)) * 1.36723313886394%</f>
        <v>2.0494425622609932E-4</v>
      </c>
      <c r="D1733" t="s">
        <v>256</v>
      </c>
      <c r="E1733" t="s">
        <v>281</v>
      </c>
      <c r="F1733" t="s">
        <v>394</v>
      </c>
      <c r="G1733" s="4" t="s">
        <v>245</v>
      </c>
    </row>
    <row r="1734" spans="1:7" hidden="1" x14ac:dyDescent="0.2">
      <c r="A1734" t="s">
        <v>52</v>
      </c>
      <c r="B1734" t="s">
        <v>148</v>
      </c>
      <c r="C1734" s="4">
        <f>(0.00247367761416449/(0.00247367761416449+0.832079466311379+0.0127000784696626))*0.0494616694353721%</f>
        <v>1.4441045629261951E-6</v>
      </c>
      <c r="D1734" t="s">
        <v>242</v>
      </c>
      <c r="E1734" t="s">
        <v>396</v>
      </c>
      <c r="F1734" t="s">
        <v>394</v>
      </c>
      <c r="G1734" s="4" t="s">
        <v>245</v>
      </c>
    </row>
    <row r="1735" spans="1:7" hidden="1" x14ac:dyDescent="0.2">
      <c r="A1735" t="s">
        <v>52</v>
      </c>
      <c r="B1735" t="s">
        <v>148</v>
      </c>
      <c r="C1735" s="4">
        <f>(0.832079466311379/(0.00247367761416449+0.832079466311379+0.0127000784696626)) * 0.0494616694353721%</f>
        <v>4.8575842993320355E-4</v>
      </c>
      <c r="D1735" t="s">
        <v>242</v>
      </c>
      <c r="E1735" t="s">
        <v>316</v>
      </c>
      <c r="F1735" t="s">
        <v>394</v>
      </c>
      <c r="G1735" s="4" t="s">
        <v>245</v>
      </c>
    </row>
    <row r="1736" spans="1:7" hidden="1" x14ac:dyDescent="0.2">
      <c r="A1736" t="s">
        <v>52</v>
      </c>
      <c r="B1736" t="s">
        <v>148</v>
      </c>
      <c r="C1736" s="4">
        <f>(0.0127000784696626/(0.00247367761416449+0.832079466311379+0.0127000784696626)) * 0.0494616694353721%</f>
        <v>7.4141598575912625E-6</v>
      </c>
      <c r="D1736" t="s">
        <v>256</v>
      </c>
      <c r="E1736" t="s">
        <v>281</v>
      </c>
      <c r="F1736" t="s">
        <v>394</v>
      </c>
      <c r="G1736" s="4" t="s">
        <v>245</v>
      </c>
    </row>
    <row r="1737" spans="1:7" hidden="1" x14ac:dyDescent="0.2">
      <c r="A1737" t="s">
        <v>52</v>
      </c>
      <c r="B1737" t="s">
        <v>149</v>
      </c>
      <c r="C1737" s="4">
        <f>(0.00247367761416449/(0.00247367761416449+0.832079466311379+0.0127000784696626))*0.557825001326583%</f>
        <v>1.62865030421707E-5</v>
      </c>
      <c r="D1737" t="s">
        <v>242</v>
      </c>
      <c r="E1737" t="s">
        <v>396</v>
      </c>
      <c r="F1737" t="s">
        <v>394</v>
      </c>
      <c r="G1737" s="4" t="s">
        <v>245</v>
      </c>
    </row>
    <row r="1738" spans="1:7" hidden="1" x14ac:dyDescent="0.2">
      <c r="A1738" t="s">
        <v>52</v>
      </c>
      <c r="B1738" t="s">
        <v>149</v>
      </c>
      <c r="C1738" s="4">
        <f>(0.832079466311379/(0.00247367761416449+0.832079466311379+0.0127000784696626)) * 0.557825001326583%</f>
        <v>5.4783471709530986E-3</v>
      </c>
      <c r="D1738" t="s">
        <v>242</v>
      </c>
      <c r="E1738" t="s">
        <v>316</v>
      </c>
      <c r="F1738" t="s">
        <v>394</v>
      </c>
      <c r="G1738" s="4" t="s">
        <v>245</v>
      </c>
    </row>
    <row r="1739" spans="1:7" hidden="1" x14ac:dyDescent="0.2">
      <c r="A1739" t="s">
        <v>52</v>
      </c>
      <c r="B1739" t="s">
        <v>149</v>
      </c>
      <c r="C1739" s="4">
        <f>(0.0127000784696626/(0.00247367761416449+0.832079466311379+0.0127000784696626)) * 0.557825001326583%</f>
        <v>8.3616339270559651E-5</v>
      </c>
      <c r="D1739" t="s">
        <v>256</v>
      </c>
      <c r="E1739" t="s">
        <v>281</v>
      </c>
      <c r="F1739" t="s">
        <v>394</v>
      </c>
      <c r="G1739" s="4" t="s">
        <v>245</v>
      </c>
    </row>
    <row r="1740" spans="1:7" hidden="1" x14ac:dyDescent="0.2">
      <c r="A1740" t="s">
        <v>52</v>
      </c>
      <c r="B1740" t="s">
        <v>230</v>
      </c>
      <c r="C1740" s="4">
        <f>(0.00247367761416449/(0.00247367761416449+0.832079466311379+0.0127000784696626))*0.104046092191552%</f>
        <v>3.0377752753530659E-6</v>
      </c>
      <c r="D1740" t="s">
        <v>242</v>
      </c>
      <c r="E1740" t="s">
        <v>396</v>
      </c>
      <c r="F1740" t="s">
        <v>394</v>
      </c>
      <c r="G1740" s="4" t="s">
        <v>245</v>
      </c>
    </row>
    <row r="1741" spans="1:7" hidden="1" x14ac:dyDescent="0.2">
      <c r="A1741" t="s">
        <v>52</v>
      </c>
      <c r="B1741" t="s">
        <v>230</v>
      </c>
      <c r="C1741" s="4">
        <f>(0.832079466311379/(0.00247367761416449+0.832079466311379+0.0127000784696626)) * 0.104046092191552%</f>
        <v>1.0218269411567714E-3</v>
      </c>
      <c r="D1741" t="s">
        <v>242</v>
      </c>
      <c r="E1741" t="s">
        <v>316</v>
      </c>
      <c r="F1741" t="s">
        <v>394</v>
      </c>
      <c r="G1741" s="4" t="s">
        <v>245</v>
      </c>
    </row>
    <row r="1742" spans="1:7" hidden="1" x14ac:dyDescent="0.2">
      <c r="A1742" t="s">
        <v>52</v>
      </c>
      <c r="B1742" t="s">
        <v>230</v>
      </c>
      <c r="C1742" s="4">
        <f>(0.0127000784696626/(0.00247367761416449+0.832079466311379+0.0127000784696626)) * 0.104046092191552%</f>
        <v>1.5596205483395471E-5</v>
      </c>
      <c r="D1742" t="s">
        <v>256</v>
      </c>
      <c r="E1742" t="s">
        <v>281</v>
      </c>
      <c r="F1742" t="s">
        <v>394</v>
      </c>
      <c r="G1742" s="4" t="s">
        <v>245</v>
      </c>
    </row>
    <row r="1743" spans="1:7" hidden="1" x14ac:dyDescent="0.2">
      <c r="A1743" t="s">
        <v>52</v>
      </c>
      <c r="B1743" t="s">
        <v>171</v>
      </c>
      <c r="C1743" s="4">
        <f>(0.00247367761416449/(0.00247367761416449+0.832079466311379+0.0127000784696626))*0.00699351989188718%</f>
        <v>2.0418586962547819E-7</v>
      </c>
      <c r="D1743" t="s">
        <v>242</v>
      </c>
      <c r="E1743" t="s">
        <v>396</v>
      </c>
      <c r="F1743" t="s">
        <v>394</v>
      </c>
      <c r="G1743" s="4" t="s">
        <v>245</v>
      </c>
    </row>
    <row r="1744" spans="1:7" hidden="1" x14ac:dyDescent="0.2">
      <c r="A1744" t="s">
        <v>52</v>
      </c>
      <c r="B1744" t="s">
        <v>171</v>
      </c>
      <c r="C1744" s="4">
        <f>(0.832079466311379/(0.00247367761416449+0.832079466311379+0.0127000784696626)) * 0.00699351989188718%</f>
        <v>6.8682704833256041E-5</v>
      </c>
      <c r="D1744" t="s">
        <v>242</v>
      </c>
      <c r="E1744" t="s">
        <v>316</v>
      </c>
      <c r="F1744" t="s">
        <v>394</v>
      </c>
      <c r="G1744" s="4" t="s">
        <v>245</v>
      </c>
    </row>
    <row r="1745" spans="1:7" hidden="1" x14ac:dyDescent="0.2">
      <c r="A1745" t="s">
        <v>52</v>
      </c>
      <c r="B1745" t="s">
        <v>171</v>
      </c>
      <c r="C1745" s="4">
        <f>(0.0127000784696626/(0.00247367761416449+0.832079466311379+0.0127000784696626)) * 0.00699351989188718%</f>
        <v>1.0483082159902806E-6</v>
      </c>
      <c r="D1745" t="s">
        <v>256</v>
      </c>
      <c r="E1745" t="s">
        <v>281</v>
      </c>
      <c r="F1745" t="s">
        <v>394</v>
      </c>
      <c r="G1745" s="4" t="s">
        <v>245</v>
      </c>
    </row>
    <row r="1746" spans="1:7" hidden="1" x14ac:dyDescent="0.2">
      <c r="A1746" t="s">
        <v>52</v>
      </c>
      <c r="B1746" t="s">
        <v>150</v>
      </c>
      <c r="C1746" s="4">
        <f>(0.00247367761416449/(0.00247367761416449+0.832079466311379+0.0127000784696626))*6.93531195163701%</f>
        <v>2.024864051093514E-4</v>
      </c>
      <c r="D1746" t="s">
        <v>242</v>
      </c>
      <c r="E1746" t="s">
        <v>396</v>
      </c>
      <c r="F1746" t="s">
        <v>394</v>
      </c>
      <c r="G1746" s="4" t="s">
        <v>245</v>
      </c>
    </row>
    <row r="1747" spans="1:7" hidden="1" x14ac:dyDescent="0.2">
      <c r="A1747" t="s">
        <v>52</v>
      </c>
      <c r="B1747" t="s">
        <v>150</v>
      </c>
      <c r="C1747" s="4">
        <f>(0.832079466311379/(0.00247367761416449+0.832079466311379+0.0127000784696626)) * 6.93531195163701%</f>
        <v>6.8111050095590667E-2</v>
      </c>
      <c r="D1747" t="s">
        <v>242</v>
      </c>
      <c r="E1747" t="s">
        <v>316</v>
      </c>
      <c r="F1747" t="s">
        <v>394</v>
      </c>
      <c r="G1747" s="4" t="s">
        <v>245</v>
      </c>
    </row>
    <row r="1748" spans="1:7" hidden="1" x14ac:dyDescent="0.2">
      <c r="A1748" t="s">
        <v>52</v>
      </c>
      <c r="B1748" t="s">
        <v>150</v>
      </c>
      <c r="C1748" s="4">
        <f>(0.0127000784696626/(0.00247367761416449+0.832079466311379+0.0127000784696626)) * 6.93531195163701%</f>
        <v>1.0395830156700655E-3</v>
      </c>
      <c r="D1748" t="s">
        <v>256</v>
      </c>
      <c r="E1748" t="s">
        <v>281</v>
      </c>
      <c r="F1748" t="s">
        <v>394</v>
      </c>
      <c r="G1748" s="4" t="s">
        <v>245</v>
      </c>
    </row>
    <row r="1749" spans="1:7" hidden="1" x14ac:dyDescent="0.2">
      <c r="A1749" t="s">
        <v>52</v>
      </c>
      <c r="B1749" t="s">
        <v>173</v>
      </c>
      <c r="C1749" s="4">
        <f>(0.00247367761416449/(0.00247367761416449+0.832079466311379+0.0127000784696626))*0.238216771317407%</f>
        <v>6.9550811841178494E-6</v>
      </c>
      <c r="D1749" t="s">
        <v>242</v>
      </c>
      <c r="E1749" t="s">
        <v>396</v>
      </c>
      <c r="F1749" t="s">
        <v>394</v>
      </c>
      <c r="G1749" s="4" t="s">
        <v>245</v>
      </c>
    </row>
    <row r="1750" spans="1:7" hidden="1" x14ac:dyDescent="0.2">
      <c r="A1750" t="s">
        <v>52</v>
      </c>
      <c r="B1750" t="s">
        <v>173</v>
      </c>
      <c r="C1750" s="4">
        <f>(0.832079466311379/(0.00247367761416449+0.832079466311379+0.0127000784696626)) * 0.238216771317407%</f>
        <v>2.3395046333827834E-3</v>
      </c>
      <c r="D1750" t="s">
        <v>242</v>
      </c>
      <c r="E1750" t="s">
        <v>316</v>
      </c>
      <c r="F1750" t="s">
        <v>394</v>
      </c>
      <c r="G1750" s="4" t="s">
        <v>245</v>
      </c>
    </row>
    <row r="1751" spans="1:7" hidden="1" x14ac:dyDescent="0.2">
      <c r="A1751" t="s">
        <v>52</v>
      </c>
      <c r="B1751" t="s">
        <v>173</v>
      </c>
      <c r="C1751" s="4">
        <f>(0.0127000784696626/(0.00247367761416449+0.832079466311379+0.0127000784696626)) * 0.238216771317407%</f>
        <v>3.570799860716893E-5</v>
      </c>
      <c r="D1751" t="s">
        <v>256</v>
      </c>
      <c r="E1751" t="s">
        <v>281</v>
      </c>
      <c r="F1751" t="s">
        <v>394</v>
      </c>
      <c r="G1751" s="4" t="s">
        <v>245</v>
      </c>
    </row>
    <row r="1752" spans="1:7" hidden="1" x14ac:dyDescent="0.2">
      <c r="A1752" t="s">
        <v>52</v>
      </c>
      <c r="B1752" t="s">
        <v>104</v>
      </c>
      <c r="C1752" s="4">
        <f>(0.00247367761416449/(0.00247367761416449+0.832079466311379+0.0127000784696626))*0.0451519128019966%</f>
        <v>1.3182750207694934E-6</v>
      </c>
      <c r="D1752" t="s">
        <v>242</v>
      </c>
      <c r="E1752" t="s">
        <v>396</v>
      </c>
      <c r="F1752" t="s">
        <v>394</v>
      </c>
      <c r="G1752" s="4" t="s">
        <v>245</v>
      </c>
    </row>
    <row r="1753" spans="1:7" hidden="1" x14ac:dyDescent="0.2">
      <c r="A1753" t="s">
        <v>52</v>
      </c>
      <c r="B1753" t="s">
        <v>104</v>
      </c>
      <c r="C1753" s="4">
        <f>(0.832079466311379/(0.00247367761416449+0.832079466311379+0.0127000784696626)) * 0.0451519128019966%</f>
        <v>4.4343271307970927E-4</v>
      </c>
      <c r="D1753" t="s">
        <v>242</v>
      </c>
      <c r="E1753" t="s">
        <v>316</v>
      </c>
      <c r="F1753" t="s">
        <v>394</v>
      </c>
      <c r="G1753" s="4" t="s">
        <v>245</v>
      </c>
    </row>
    <row r="1754" spans="1:7" hidden="1" x14ac:dyDescent="0.2">
      <c r="A1754" t="s">
        <v>52</v>
      </c>
      <c r="B1754" t="s">
        <v>104</v>
      </c>
      <c r="C1754" s="4">
        <f>(0.0127000784696626/(0.00247367761416449+0.832079466311379+0.0127000784696626)) * 0.0451519128019966%</f>
        <v>6.768139919487249E-6</v>
      </c>
      <c r="D1754" t="s">
        <v>256</v>
      </c>
      <c r="E1754" t="s">
        <v>281</v>
      </c>
      <c r="F1754" t="s">
        <v>394</v>
      </c>
      <c r="G1754" s="4" t="s">
        <v>245</v>
      </c>
    </row>
    <row r="1755" spans="1:7" hidden="1" x14ac:dyDescent="0.2">
      <c r="A1755" t="s">
        <v>52</v>
      </c>
      <c r="B1755" t="s">
        <v>161</v>
      </c>
      <c r="C1755" s="4">
        <f>(0.00247367761416449/(0.00247367761416449+0.832079466311379+0.0127000784696626))*0.74850769212882%</f>
        <v>2.1853758393677897E-5</v>
      </c>
      <c r="D1755" t="s">
        <v>242</v>
      </c>
      <c r="E1755" t="s">
        <v>396</v>
      </c>
      <c r="F1755" t="s">
        <v>394</v>
      </c>
      <c r="G1755" s="4" t="s">
        <v>245</v>
      </c>
    </row>
    <row r="1756" spans="1:7" hidden="1" x14ac:dyDescent="0.2">
      <c r="A1756" t="s">
        <v>52</v>
      </c>
      <c r="B1756" t="s">
        <v>161</v>
      </c>
      <c r="C1756" s="4">
        <f>(0.832079466311379/(0.00247367761416449+0.832079466311379+0.0127000784696626)) * 0.74850769212882%</f>
        <v>7.3510240449223517E-3</v>
      </c>
      <c r="D1756" t="s">
        <v>242</v>
      </c>
      <c r="E1756" t="s">
        <v>316</v>
      </c>
      <c r="F1756" t="s">
        <v>394</v>
      </c>
      <c r="G1756" s="4" t="s">
        <v>245</v>
      </c>
    </row>
    <row r="1757" spans="1:7" hidden="1" x14ac:dyDescent="0.2">
      <c r="A1757" t="s">
        <v>52</v>
      </c>
      <c r="B1757" t="s">
        <v>161</v>
      </c>
      <c r="C1757" s="4">
        <f>(0.0127000784696626/(0.00247367761416449+0.832079466311379+0.0127000784696626)) * 0.74850769212882%</f>
        <v>1.1219911797216974E-4</v>
      </c>
      <c r="D1757" t="s">
        <v>256</v>
      </c>
      <c r="E1757" t="s">
        <v>281</v>
      </c>
      <c r="F1757" t="s">
        <v>394</v>
      </c>
      <c r="G1757" s="4" t="s">
        <v>245</v>
      </c>
    </row>
    <row r="1758" spans="1:7" hidden="1" x14ac:dyDescent="0.2">
      <c r="A1758" t="s">
        <v>52</v>
      </c>
      <c r="B1758" t="s">
        <v>174</v>
      </c>
      <c r="C1758" s="4">
        <f>(0.00247367761416449/(0.00247367761416449+0.832079466311379+0.0127000784696626))*0.687039023229064%</f>
        <v>2.0059092215838456E-5</v>
      </c>
      <c r="D1758" t="s">
        <v>242</v>
      </c>
      <c r="E1758" t="s">
        <v>396</v>
      </c>
      <c r="F1758" t="s">
        <v>394</v>
      </c>
      <c r="G1758" s="4" t="s">
        <v>245</v>
      </c>
    </row>
    <row r="1759" spans="1:7" hidden="1" x14ac:dyDescent="0.2">
      <c r="A1759" t="s">
        <v>52</v>
      </c>
      <c r="B1759" t="s">
        <v>174</v>
      </c>
      <c r="C1759" s="4">
        <f>(0.832079466311379/(0.00247367761416449+0.832079466311379+0.0127000784696626)) * 0.687039023229064%</f>
        <v>6.7473459961285504E-3</v>
      </c>
      <c r="D1759" t="s">
        <v>242</v>
      </c>
      <c r="E1759" t="s">
        <v>316</v>
      </c>
      <c r="F1759" t="s">
        <v>394</v>
      </c>
      <c r="G1759" s="4" t="s">
        <v>245</v>
      </c>
    </row>
    <row r="1760" spans="1:7" hidden="1" x14ac:dyDescent="0.2">
      <c r="A1760" t="s">
        <v>52</v>
      </c>
      <c r="B1760" t="s">
        <v>174</v>
      </c>
      <c r="C1760" s="4">
        <f>(0.0127000784696626/(0.00247367761416449+0.832079466311379+0.0127000784696626)) * 0.687039023229064%</f>
        <v>1.0298514394625015E-4</v>
      </c>
      <c r="D1760" t="s">
        <v>256</v>
      </c>
      <c r="E1760" t="s">
        <v>281</v>
      </c>
      <c r="F1760" t="s">
        <v>394</v>
      </c>
      <c r="G1760" s="4" t="s">
        <v>245</v>
      </c>
    </row>
    <row r="1761" spans="1:7" hidden="1" x14ac:dyDescent="0.2">
      <c r="A1761" t="s">
        <v>52</v>
      </c>
      <c r="B1761" t="s">
        <v>175</v>
      </c>
      <c r="C1761" s="4">
        <f>(0.00247367761416449/(0.00247367761416449+0.832079466311379+0.0127000784696626))*0.155028852203409%</f>
        <v>4.5262902649227861E-6</v>
      </c>
      <c r="D1761" t="s">
        <v>242</v>
      </c>
      <c r="E1761" t="s">
        <v>396</v>
      </c>
      <c r="F1761" t="s">
        <v>394</v>
      </c>
      <c r="G1761" s="4" t="s">
        <v>245</v>
      </c>
    </row>
    <row r="1762" spans="1:7" hidden="1" x14ac:dyDescent="0.2">
      <c r="A1762" t="s">
        <v>52</v>
      </c>
      <c r="B1762" t="s">
        <v>175</v>
      </c>
      <c r="C1762" s="4">
        <f>(0.832079466311379/(0.00247367761416449+0.832079466311379+0.0127000784696626)) * 0.155028852203409%</f>
        <v>1.5225238593912028E-3</v>
      </c>
      <c r="D1762" t="s">
        <v>242</v>
      </c>
      <c r="E1762" t="s">
        <v>316</v>
      </c>
      <c r="F1762" t="s">
        <v>394</v>
      </c>
      <c r="G1762" s="4" t="s">
        <v>245</v>
      </c>
    </row>
    <row r="1763" spans="1:7" hidden="1" x14ac:dyDescent="0.2">
      <c r="A1763" t="s">
        <v>52</v>
      </c>
      <c r="B1763" t="s">
        <v>175</v>
      </c>
      <c r="C1763" s="4">
        <f>(0.0127000784696626/(0.00247367761416449+0.832079466311379+0.0127000784696626)) * 0.155028852203409%</f>
        <v>2.3238372377964537E-5</v>
      </c>
      <c r="D1763" t="s">
        <v>256</v>
      </c>
      <c r="E1763" t="s">
        <v>281</v>
      </c>
      <c r="F1763" t="s">
        <v>394</v>
      </c>
      <c r="G1763" s="4" t="s">
        <v>245</v>
      </c>
    </row>
    <row r="1764" spans="1:7" hidden="1" x14ac:dyDescent="0.2">
      <c r="A1764" t="s">
        <v>52</v>
      </c>
      <c r="B1764" t="s">
        <v>214</v>
      </c>
      <c r="C1764" s="4">
        <f>(0.00247367761416449/(0.00247367761416449+0.832079466311379+0.0127000784696626))*0.017046704736475%</f>
        <v>4.9770305721210297E-7</v>
      </c>
      <c r="D1764" t="s">
        <v>242</v>
      </c>
      <c r="E1764" t="s">
        <v>396</v>
      </c>
      <c r="F1764" t="s">
        <v>394</v>
      </c>
      <c r="G1764" s="4" t="s">
        <v>245</v>
      </c>
    </row>
    <row r="1765" spans="1:7" hidden="1" x14ac:dyDescent="0.2">
      <c r="A1765" t="s">
        <v>52</v>
      </c>
      <c r="B1765" t="s">
        <v>214</v>
      </c>
      <c r="C1765" s="4">
        <f>(0.832079466311379/(0.00247367761416449+0.832079466311379+0.0127000784696626)) * 0.017046704736475%</f>
        <v>1.6741409303106157E-4</v>
      </c>
      <c r="D1765" t="s">
        <v>242</v>
      </c>
      <c r="E1765" t="s">
        <v>316</v>
      </c>
      <c r="F1765" t="s">
        <v>394</v>
      </c>
      <c r="G1765" s="4" t="s">
        <v>245</v>
      </c>
    </row>
    <row r="1766" spans="1:7" hidden="1" x14ac:dyDescent="0.2">
      <c r="A1766" t="s">
        <v>52</v>
      </c>
      <c r="B1766" t="s">
        <v>214</v>
      </c>
      <c r="C1766" s="4">
        <f>(0.0127000784696626/(0.00247367761416449+0.832079466311379+0.0127000784696626)) * 0.017046704736475%</f>
        <v>2.5552512764763084E-6</v>
      </c>
      <c r="D1766" t="s">
        <v>256</v>
      </c>
      <c r="E1766" t="s">
        <v>281</v>
      </c>
      <c r="F1766" t="s">
        <v>394</v>
      </c>
      <c r="G1766" s="4" t="s">
        <v>245</v>
      </c>
    </row>
    <row r="1767" spans="1:7" hidden="1" x14ac:dyDescent="0.2">
      <c r="A1767" t="s">
        <v>52</v>
      </c>
      <c r="B1767" t="s">
        <v>203</v>
      </c>
      <c r="C1767" s="4">
        <f>(0.00247367761416449/(0.00247367761416449+0.832079466311379+0.0127000784696626))*0.489546392432102%</f>
        <v>1.4293010873783455E-5</v>
      </c>
      <c r="D1767" t="s">
        <v>242</v>
      </c>
      <c r="E1767" t="s">
        <v>396</v>
      </c>
      <c r="F1767" t="s">
        <v>394</v>
      </c>
      <c r="G1767" s="4" t="s">
        <v>245</v>
      </c>
    </row>
    <row r="1768" spans="1:7" hidden="1" x14ac:dyDescent="0.2">
      <c r="A1768" t="s">
        <v>52</v>
      </c>
      <c r="B1768" t="s">
        <v>203</v>
      </c>
      <c r="C1768" s="4">
        <f>(0.832079466311379/(0.00247367761416449+0.832079466311379+0.0127000784696626)) * 0.489546392432102%</f>
        <v>4.8077893383279167E-3</v>
      </c>
      <c r="D1768" t="s">
        <v>242</v>
      </c>
      <c r="E1768" t="s">
        <v>316</v>
      </c>
      <c r="F1768" t="s">
        <v>394</v>
      </c>
      <c r="G1768" s="4" t="s">
        <v>245</v>
      </c>
    </row>
    <row r="1769" spans="1:7" hidden="1" x14ac:dyDescent="0.2">
      <c r="A1769" t="s">
        <v>52</v>
      </c>
      <c r="B1769" t="s">
        <v>203</v>
      </c>
      <c r="C1769" s="4">
        <f>(0.0127000784696626/(0.00247367761416449+0.832079466311379+0.0127000784696626)) * 0.489546392432102%</f>
        <v>7.3381575119319553E-5</v>
      </c>
      <c r="D1769" t="s">
        <v>256</v>
      </c>
      <c r="E1769" t="s">
        <v>281</v>
      </c>
      <c r="F1769" t="s">
        <v>394</v>
      </c>
      <c r="G1769" s="4" t="s">
        <v>245</v>
      </c>
    </row>
    <row r="1770" spans="1:7" hidden="1" x14ac:dyDescent="0.2">
      <c r="A1770" t="s">
        <v>52</v>
      </c>
      <c r="B1770" t="s">
        <v>176</v>
      </c>
      <c r="C1770" s="4">
        <f>(0.00247367761416449/(0.00247367761416449+0.832079466311379+0.0127000784696626))*0.930264903169035%</f>
        <v>2.7160421529075548E-5</v>
      </c>
      <c r="D1770" t="s">
        <v>242</v>
      </c>
      <c r="E1770" t="s">
        <v>396</v>
      </c>
      <c r="F1770" t="s">
        <v>394</v>
      </c>
      <c r="G1770" s="4" t="s">
        <v>245</v>
      </c>
    </row>
    <row r="1771" spans="1:7" hidden="1" x14ac:dyDescent="0.2">
      <c r="A1771" t="s">
        <v>52</v>
      </c>
      <c r="B1771" t="s">
        <v>176</v>
      </c>
      <c r="C1771" s="4">
        <f>(0.832079466311379/(0.00247367761416449+0.832079466311379+0.0127000784696626)) * 0.930264903169035%</f>
        <v>9.1360446168481518E-3</v>
      </c>
      <c r="D1771" t="s">
        <v>242</v>
      </c>
      <c r="E1771" t="s">
        <v>316</v>
      </c>
      <c r="F1771" t="s">
        <v>394</v>
      </c>
      <c r="G1771" s="4" t="s">
        <v>245</v>
      </c>
    </row>
    <row r="1772" spans="1:7" hidden="1" x14ac:dyDescent="0.2">
      <c r="A1772" t="s">
        <v>52</v>
      </c>
      <c r="B1772" t="s">
        <v>176</v>
      </c>
      <c r="C1772" s="4">
        <f>(0.0127000784696626/(0.00247367761416449+0.832079466311379+0.0127000784696626)) * 0.930264903169035%</f>
        <v>1.3944399331312208E-4</v>
      </c>
      <c r="D1772" t="s">
        <v>256</v>
      </c>
      <c r="E1772" t="s">
        <v>281</v>
      </c>
      <c r="F1772" t="s">
        <v>394</v>
      </c>
      <c r="G1772" s="4" t="s">
        <v>245</v>
      </c>
    </row>
    <row r="1773" spans="1:7" hidden="1" x14ac:dyDescent="0.2">
      <c r="A1773" t="s">
        <v>52</v>
      </c>
      <c r="B1773" t="s">
        <v>106</v>
      </c>
      <c r="C1773" s="4">
        <f>(0.00247367761416449/(0.00247367761416449+0.832079466311379+0.0127000784696626))*0.105532215168578%</f>
        <v>3.081164772648479E-6</v>
      </c>
      <c r="D1773" t="s">
        <v>242</v>
      </c>
      <c r="E1773" t="s">
        <v>396</v>
      </c>
      <c r="F1773" t="s">
        <v>394</v>
      </c>
      <c r="G1773" s="4" t="s">
        <v>245</v>
      </c>
    </row>
    <row r="1774" spans="1:7" hidden="1" x14ac:dyDescent="0.2">
      <c r="A1774" t="s">
        <v>52</v>
      </c>
      <c r="B1774" t="s">
        <v>106</v>
      </c>
      <c r="C1774" s="4">
        <f>(0.832079466311379/(0.00247367761416449+0.832079466311379+0.0127000784696626)) * 0.105532215168578%</f>
        <v>1.0364220159338382E-3</v>
      </c>
      <c r="D1774" t="s">
        <v>242</v>
      </c>
      <c r="E1774" t="s">
        <v>316</v>
      </c>
      <c r="F1774" t="s">
        <v>394</v>
      </c>
      <c r="G1774" s="4" t="s">
        <v>245</v>
      </c>
    </row>
    <row r="1775" spans="1:7" hidden="1" x14ac:dyDescent="0.2">
      <c r="A1775" t="s">
        <v>52</v>
      </c>
      <c r="B1775" t="s">
        <v>106</v>
      </c>
      <c r="C1775" s="4">
        <f>(0.0127000784696626/(0.00247367761416449+0.832079466311379+0.0127000784696626)) * 0.105532215168578%</f>
        <v>1.5818970979293402E-5</v>
      </c>
      <c r="D1775" t="s">
        <v>256</v>
      </c>
      <c r="E1775" t="s">
        <v>281</v>
      </c>
      <c r="F1775" t="s">
        <v>394</v>
      </c>
      <c r="G1775" s="4" t="s">
        <v>245</v>
      </c>
    </row>
    <row r="1776" spans="1:7" hidden="1" x14ac:dyDescent="0.2">
      <c r="A1776" t="s">
        <v>52</v>
      </c>
      <c r="B1776" t="s">
        <v>146</v>
      </c>
      <c r="C1776" s="4">
        <v>6.1617062649961828E-2</v>
      </c>
      <c r="D1776" t="s">
        <v>311</v>
      </c>
      <c r="E1776" t="s">
        <v>395</v>
      </c>
      <c r="F1776" t="s">
        <v>394</v>
      </c>
      <c r="G1776" s="4" t="s">
        <v>245</v>
      </c>
    </row>
    <row r="1777" spans="1:7" hidden="1" x14ac:dyDescent="0.2">
      <c r="A1777" t="s">
        <v>52</v>
      </c>
      <c r="B1777" t="s">
        <v>151</v>
      </c>
      <c r="C1777" s="4">
        <f>(0.00247367761416449/(0.00247367761416449+0.832079466311379+0.0127000784696626))*1.25535430439348%</f>
        <v>3.6651874062447439E-5</v>
      </c>
      <c r="D1777" t="s">
        <v>242</v>
      </c>
      <c r="E1777" t="s">
        <v>396</v>
      </c>
      <c r="F1777" t="s">
        <v>394</v>
      </c>
      <c r="G1777" s="4" t="s">
        <v>245</v>
      </c>
    </row>
    <row r="1778" spans="1:7" hidden="1" x14ac:dyDescent="0.2">
      <c r="A1778" t="s">
        <v>52</v>
      </c>
      <c r="B1778" t="s">
        <v>151</v>
      </c>
      <c r="C1778" s="4">
        <f>(0.832079466311379/(0.00247367761416449+0.832079466311379+0.0127000784696626)) * 1.25535430439348%</f>
        <v>1.2328717224331558E-2</v>
      </c>
      <c r="D1778" t="s">
        <v>242</v>
      </c>
      <c r="E1778" t="s">
        <v>316</v>
      </c>
      <c r="F1778" t="s">
        <v>394</v>
      </c>
      <c r="G1778" s="4" t="s">
        <v>245</v>
      </c>
    </row>
    <row r="1779" spans="1:7" hidden="1" x14ac:dyDescent="0.2">
      <c r="A1779" t="s">
        <v>52</v>
      </c>
      <c r="B1779" t="s">
        <v>151</v>
      </c>
      <c r="C1779" s="4">
        <f>(0.0127000784696626/(0.00247367761416449+0.832079466311379+0.0127000784696626)) * 1.25535430439348%</f>
        <v>1.8817394554079557E-4</v>
      </c>
      <c r="D1779" t="s">
        <v>256</v>
      </c>
      <c r="E1779" t="s">
        <v>281</v>
      </c>
      <c r="F1779" t="s">
        <v>394</v>
      </c>
      <c r="G1779" s="4" t="s">
        <v>245</v>
      </c>
    </row>
    <row r="1780" spans="1:7" hidden="1" x14ac:dyDescent="0.2">
      <c r="A1780" t="s">
        <v>52</v>
      </c>
      <c r="B1780" t="s">
        <v>178</v>
      </c>
      <c r="C1780" s="4">
        <f>(0.00247367761416449/(0.00247367761416449+0.832079466311379+0.0127000784696626))*0.479309627690352%</f>
        <v>1.3994133807119158E-5</v>
      </c>
      <c r="D1780" t="s">
        <v>242</v>
      </c>
      <c r="E1780" t="s">
        <v>396</v>
      </c>
      <c r="F1780" t="s">
        <v>394</v>
      </c>
      <c r="G1780" s="4" t="s">
        <v>245</v>
      </c>
    </row>
    <row r="1781" spans="1:7" hidden="1" x14ac:dyDescent="0.2">
      <c r="A1781" t="s">
        <v>52</v>
      </c>
      <c r="B1781" t="s">
        <v>178</v>
      </c>
      <c r="C1781" s="4">
        <f>(0.832079466311379/(0.00247367761416449+0.832079466311379+0.0127000784696626)) * 0.479309627690352%</f>
        <v>4.7072550291282376E-3</v>
      </c>
      <c r="D1781" t="s">
        <v>242</v>
      </c>
      <c r="E1781" t="s">
        <v>316</v>
      </c>
      <c r="F1781" t="s">
        <v>394</v>
      </c>
      <c r="G1781" s="4" t="s">
        <v>245</v>
      </c>
    </row>
    <row r="1782" spans="1:7" hidden="1" x14ac:dyDescent="0.2">
      <c r="A1782" t="s">
        <v>52</v>
      </c>
      <c r="B1782" t="s">
        <v>178</v>
      </c>
      <c r="C1782" s="4">
        <f>(0.0127000784696626/(0.00247367761416449+0.832079466311379+0.0127000784696626)) * 0.479309627690352%</f>
        <v>7.1847113968163755E-5</v>
      </c>
      <c r="D1782" t="s">
        <v>256</v>
      </c>
      <c r="E1782" t="s">
        <v>281</v>
      </c>
      <c r="F1782" t="s">
        <v>394</v>
      </c>
      <c r="G1782" s="4" t="s">
        <v>245</v>
      </c>
    </row>
    <row r="1783" spans="1:7" hidden="1" x14ac:dyDescent="0.2">
      <c r="A1783" t="s">
        <v>52</v>
      </c>
      <c r="B1783" t="s">
        <v>120</v>
      </c>
      <c r="C1783" s="4">
        <f>(0.00247367761416449/(0.00247367761416449+0.832079466311379+0.0127000784696626))*0.0100531848445878%</f>
        <v>2.9351718758662432E-7</v>
      </c>
      <c r="D1783" t="s">
        <v>242</v>
      </c>
      <c r="E1783" t="s">
        <v>396</v>
      </c>
      <c r="F1783" t="s">
        <v>394</v>
      </c>
      <c r="G1783" s="4" t="s">
        <v>245</v>
      </c>
    </row>
    <row r="1784" spans="1:7" hidden="1" x14ac:dyDescent="0.2">
      <c r="A1784" t="s">
        <v>52</v>
      </c>
      <c r="B1784" t="s">
        <v>120</v>
      </c>
      <c r="C1784" s="4">
        <f>(0.832079466311379/(0.00247367761416449+0.832079466311379+0.0127000784696626)) * 0.0100531848445878%</f>
        <v>9.8731388197805363E-5</v>
      </c>
      <c r="D1784" t="s">
        <v>242</v>
      </c>
      <c r="E1784" t="s">
        <v>316</v>
      </c>
      <c r="F1784" t="s">
        <v>394</v>
      </c>
      <c r="G1784" s="4" t="s">
        <v>245</v>
      </c>
    </row>
    <row r="1785" spans="1:7" hidden="1" x14ac:dyDescent="0.2">
      <c r="A1785" t="s">
        <v>52</v>
      </c>
      <c r="B1785" t="s">
        <v>120</v>
      </c>
      <c r="C1785" s="4">
        <f>(0.0127000784696626/(0.00247367761416449+0.832079466311379+0.0127000784696626)) * 0.0100531848445878%</f>
        <v>1.5069430604860252E-6</v>
      </c>
      <c r="D1785" t="s">
        <v>256</v>
      </c>
      <c r="E1785" t="s">
        <v>281</v>
      </c>
      <c r="F1785" t="s">
        <v>394</v>
      </c>
      <c r="G1785" s="4" t="s">
        <v>245</v>
      </c>
    </row>
    <row r="1786" spans="1:7" hidden="1" x14ac:dyDescent="0.2">
      <c r="A1786" t="s">
        <v>52</v>
      </c>
      <c r="B1786" t="s">
        <v>107</v>
      </c>
      <c r="C1786" s="4">
        <f>(0.00247367761416449/(0.00247367761416449+0.832079466311379+0.0127000784696626))*4.45574636111862%</f>
        <v>1.3009192218513279E-4</v>
      </c>
      <c r="D1786" t="s">
        <v>242</v>
      </c>
      <c r="E1786" t="s">
        <v>396</v>
      </c>
      <c r="F1786" t="s">
        <v>394</v>
      </c>
      <c r="G1786" s="4" t="s">
        <v>245</v>
      </c>
    </row>
    <row r="1787" spans="1:7" hidden="1" x14ac:dyDescent="0.2">
      <c r="A1787" t="s">
        <v>52</v>
      </c>
      <c r="B1787" t="s">
        <v>107</v>
      </c>
      <c r="C1787" s="4">
        <f>(0.832079466311379/(0.00247367761416449+0.832079466311379+0.0127000784696626)) * 4.45574636111862%</f>
        <v>4.3759468316888255E-2</v>
      </c>
      <c r="D1787" t="s">
        <v>242</v>
      </c>
      <c r="E1787" t="s">
        <v>316</v>
      </c>
      <c r="F1787" t="s">
        <v>394</v>
      </c>
      <c r="G1787" s="4" t="s">
        <v>245</v>
      </c>
    </row>
    <row r="1788" spans="1:7" hidden="1" x14ac:dyDescent="0.2">
      <c r="A1788" t="s">
        <v>52</v>
      </c>
      <c r="B1788" t="s">
        <v>107</v>
      </c>
      <c r="C1788" s="4">
        <f>(0.0127000784696626/(0.00247367761416449+0.832079466311379+0.0127000784696626)) * 4.45574636111862%</f>
        <v>6.6790337211280755E-4</v>
      </c>
      <c r="D1788" t="s">
        <v>256</v>
      </c>
      <c r="E1788" t="s">
        <v>281</v>
      </c>
      <c r="F1788" t="s">
        <v>394</v>
      </c>
      <c r="G1788" s="4" t="s">
        <v>245</v>
      </c>
    </row>
    <row r="1789" spans="1:7" hidden="1" x14ac:dyDescent="0.2">
      <c r="A1789" t="s">
        <v>52</v>
      </c>
      <c r="B1789" t="s">
        <v>179</v>
      </c>
      <c r="C1789" s="4">
        <f>(0.00247367761416449/(0.00247367761416449+0.832079466311379+0.0127000784696626))*0.0986086304756092%</f>
        <v>2.8790207617192408E-6</v>
      </c>
      <c r="D1789" t="s">
        <v>242</v>
      </c>
      <c r="E1789" t="s">
        <v>396</v>
      </c>
      <c r="F1789" t="s">
        <v>394</v>
      </c>
      <c r="G1789" s="4" t="s">
        <v>245</v>
      </c>
    </row>
    <row r="1790" spans="1:7" hidden="1" x14ac:dyDescent="0.2">
      <c r="A1790" t="s">
        <v>52</v>
      </c>
      <c r="B1790" t="s">
        <v>179</v>
      </c>
      <c r="C1790" s="4">
        <f>(0.832079466311379/(0.00247367761416449+0.832079466311379+0.0127000784696626)) * 0.0986086304756092%</f>
        <v>9.6842613814890962E-4</v>
      </c>
      <c r="D1790" t="s">
        <v>242</v>
      </c>
      <c r="E1790" t="s">
        <v>316</v>
      </c>
      <c r="F1790" t="s">
        <v>394</v>
      </c>
      <c r="G1790" s="4" t="s">
        <v>245</v>
      </c>
    </row>
    <row r="1791" spans="1:7" hidden="1" x14ac:dyDescent="0.2">
      <c r="A1791" t="s">
        <v>52</v>
      </c>
      <c r="B1791" t="s">
        <v>179</v>
      </c>
      <c r="C1791" s="4">
        <f>(0.0127000784696626/(0.00247367761416449+0.832079466311379+0.0127000784696626)) * 0.0986086304756092%</f>
        <v>1.4781145845462948E-5</v>
      </c>
      <c r="D1791" t="s">
        <v>256</v>
      </c>
      <c r="E1791" t="s">
        <v>281</v>
      </c>
      <c r="F1791" t="s">
        <v>394</v>
      </c>
      <c r="G1791" s="4" t="s">
        <v>245</v>
      </c>
    </row>
    <row r="1792" spans="1:7" hidden="1" x14ac:dyDescent="0.2">
      <c r="A1792" t="s">
        <v>52</v>
      </c>
      <c r="B1792" t="s">
        <v>135</v>
      </c>
      <c r="C1792" s="4">
        <f>(0.00247367761416449/(0.00247367761416449+0.832079466311379+0.0127000784696626))*0.00251329621114695%</f>
        <v>7.3379296896656081E-8</v>
      </c>
      <c r="D1792" t="s">
        <v>242</v>
      </c>
      <c r="E1792" t="s">
        <v>396</v>
      </c>
      <c r="F1792" t="s">
        <v>394</v>
      </c>
      <c r="G1792" s="4" t="s">
        <v>245</v>
      </c>
    </row>
    <row r="1793" spans="1:7" hidden="1" x14ac:dyDescent="0.2">
      <c r="A1793" t="s">
        <v>52</v>
      </c>
      <c r="B1793" t="s">
        <v>135</v>
      </c>
      <c r="C1793" s="4">
        <f>(0.832079466311379/(0.00247367761416449+0.832079466311379+0.0127000784696626)) * 0.00251329621114695%</f>
        <v>2.4682847049451341E-5</v>
      </c>
      <c r="D1793" t="s">
        <v>242</v>
      </c>
      <c r="E1793" t="s">
        <v>316</v>
      </c>
      <c r="F1793" t="s">
        <v>394</v>
      </c>
      <c r="G1793" s="4" t="s">
        <v>245</v>
      </c>
    </row>
    <row r="1794" spans="1:7" hidden="1" x14ac:dyDescent="0.2">
      <c r="A1794" t="s">
        <v>52</v>
      </c>
      <c r="B1794" t="s">
        <v>135</v>
      </c>
      <c r="C1794" s="4">
        <f>(0.0127000784696626/(0.00247367761416449+0.832079466311379+0.0127000784696626)) * 0.00251329621114695%</f>
        <v>3.7673576512150631E-7</v>
      </c>
      <c r="D1794" t="s">
        <v>256</v>
      </c>
      <c r="E1794" t="s">
        <v>281</v>
      </c>
      <c r="F1794" t="s">
        <v>394</v>
      </c>
      <c r="G1794" s="4" t="s">
        <v>245</v>
      </c>
    </row>
    <row r="1795" spans="1:7" hidden="1" x14ac:dyDescent="0.2">
      <c r="A1795" t="s">
        <v>52</v>
      </c>
      <c r="B1795" t="s">
        <v>137</v>
      </c>
      <c r="C1795" s="4">
        <f>(0.00247367761416449/(0.00247367761416449+0.832079466311379+0.0127000784696626))*0.810706309667291%</f>
        <v>2.3669736471659478E-5</v>
      </c>
      <c r="D1795" t="s">
        <v>242</v>
      </c>
      <c r="E1795" t="s">
        <v>396</v>
      </c>
      <c r="F1795" t="s">
        <v>394</v>
      </c>
      <c r="G1795" s="4" t="s">
        <v>245</v>
      </c>
    </row>
    <row r="1796" spans="1:7" hidden="1" x14ac:dyDescent="0.2">
      <c r="A1796" t="s">
        <v>52</v>
      </c>
      <c r="B1796" t="s">
        <v>137</v>
      </c>
      <c r="C1796" s="4">
        <f>(0.832079466311379/(0.00247367761416449+0.832079466311379+0.0127000784696626)) * 0.810706309667291%</f>
        <v>7.9618708510331183E-3</v>
      </c>
      <c r="D1796" t="s">
        <v>242</v>
      </c>
      <c r="E1796" t="s">
        <v>316</v>
      </c>
      <c r="F1796" t="s">
        <v>394</v>
      </c>
      <c r="G1796" s="4" t="s">
        <v>245</v>
      </c>
    </row>
    <row r="1797" spans="1:7" hidden="1" x14ac:dyDescent="0.2">
      <c r="A1797" t="s">
        <v>52</v>
      </c>
      <c r="B1797" t="s">
        <v>137</v>
      </c>
      <c r="C1797" s="4">
        <f>(0.0127000784696626/(0.00247367761416449+0.832079466311379+0.0127000784696626)) * 0.810706309667291%</f>
        <v>1.2152250916813321E-4</v>
      </c>
      <c r="D1797" t="s">
        <v>256</v>
      </c>
      <c r="E1797" t="s">
        <v>281</v>
      </c>
      <c r="F1797" t="s">
        <v>394</v>
      </c>
      <c r="G1797" s="4" t="s">
        <v>245</v>
      </c>
    </row>
    <row r="1798" spans="1:7" hidden="1" x14ac:dyDescent="0.2">
      <c r="A1798" t="s">
        <v>52</v>
      </c>
      <c r="B1798" t="s">
        <v>121</v>
      </c>
      <c r="C1798" s="4">
        <f>(0.00247367761416449/(0.00247367761416449+0.832079466311379+0.0127000784696626))*0.205198615527835%</f>
        <v>5.99106864714857E-6</v>
      </c>
      <c r="D1798" t="s">
        <v>242</v>
      </c>
      <c r="E1798" t="s">
        <v>396</v>
      </c>
      <c r="F1798" t="s">
        <v>394</v>
      </c>
      <c r="G1798" s="4" t="s">
        <v>245</v>
      </c>
    </row>
    <row r="1799" spans="1:7" hidden="1" x14ac:dyDescent="0.2">
      <c r="A1799" t="s">
        <v>52</v>
      </c>
      <c r="B1799" t="s">
        <v>121</v>
      </c>
      <c r="C1799" s="4">
        <f>(0.832079466311379/(0.00247367761416449+0.832079466311379+0.0127000784696626)) * 0.205198615527835%</f>
        <v>2.0152364131887767E-3</v>
      </c>
      <c r="D1799" t="s">
        <v>242</v>
      </c>
      <c r="E1799" t="s">
        <v>316</v>
      </c>
      <c r="F1799" t="s">
        <v>394</v>
      </c>
      <c r="G1799" s="4" t="s">
        <v>245</v>
      </c>
    </row>
    <row r="1800" spans="1:7" hidden="1" x14ac:dyDescent="0.2">
      <c r="A1800" t="s">
        <v>52</v>
      </c>
      <c r="B1800" t="s">
        <v>121</v>
      </c>
      <c r="C1800" s="4">
        <f>(0.0127000784696626/(0.00247367761416449+0.832079466311379+0.0127000784696626)) * 0.205198615527835%</f>
        <v>3.0758673442424865E-5</v>
      </c>
      <c r="D1800" t="s">
        <v>256</v>
      </c>
      <c r="E1800" t="s">
        <v>281</v>
      </c>
      <c r="F1800" t="s">
        <v>394</v>
      </c>
      <c r="G1800" s="4" t="s">
        <v>245</v>
      </c>
    </row>
    <row r="1801" spans="1:7" hidden="1" x14ac:dyDescent="0.2">
      <c r="A1801" t="s">
        <v>52</v>
      </c>
      <c r="B1801" t="s">
        <v>138</v>
      </c>
      <c r="C1801" s="4">
        <f>(0.00247367761416449/(0.00247367761416449+0.832079466311379+0.0127000784696626))*1.46559699614334%</f>
        <v>4.2790211768063428E-5</v>
      </c>
      <c r="D1801" t="s">
        <v>242</v>
      </c>
      <c r="E1801" t="s">
        <v>396</v>
      </c>
      <c r="F1801" t="s">
        <v>394</v>
      </c>
      <c r="G1801" s="4" t="s">
        <v>245</v>
      </c>
    </row>
    <row r="1802" spans="1:7" hidden="1" x14ac:dyDescent="0.2">
      <c r="A1802" t="s">
        <v>52</v>
      </c>
      <c r="B1802" t="s">
        <v>138</v>
      </c>
      <c r="C1802" s="4">
        <f>(0.832079466311379/(0.00247367761416449+0.832079466311379+0.0127000784696626)) * 1.46559699614334%</f>
        <v>1.4393491038381332E-2</v>
      </c>
      <c r="D1802" t="s">
        <v>242</v>
      </c>
      <c r="E1802" t="s">
        <v>316</v>
      </c>
      <c r="F1802" t="s">
        <v>394</v>
      </c>
      <c r="G1802" s="4" t="s">
        <v>245</v>
      </c>
    </row>
    <row r="1803" spans="1:7" hidden="1" x14ac:dyDescent="0.2">
      <c r="A1803" t="s">
        <v>52</v>
      </c>
      <c r="B1803" t="s">
        <v>138</v>
      </c>
      <c r="C1803" s="4">
        <f>(0.0127000784696626/(0.00247367761416449+0.832079466311379+0.0127000784696626)) * 1.46559699614334%</f>
        <v>2.1968871128400362E-4</v>
      </c>
      <c r="D1803" t="s">
        <v>256</v>
      </c>
      <c r="E1803" t="s">
        <v>281</v>
      </c>
      <c r="F1803" t="s">
        <v>394</v>
      </c>
      <c r="G1803" s="4" t="s">
        <v>245</v>
      </c>
    </row>
    <row r="1804" spans="1:7" hidden="1" x14ac:dyDescent="0.2">
      <c r="A1804" t="s">
        <v>52</v>
      </c>
      <c r="B1804" t="s">
        <v>139</v>
      </c>
      <c r="C1804" s="4">
        <f>(0.00247367761416449/(0.00247367761416449+0.832079466311379+0.0127000784696626))*1.04157988509822%</f>
        <v>3.0410422492670676E-5</v>
      </c>
      <c r="D1804" t="s">
        <v>242</v>
      </c>
      <c r="E1804" t="s">
        <v>396</v>
      </c>
      <c r="F1804" t="s">
        <v>394</v>
      </c>
      <c r="G1804" s="4" t="s">
        <v>245</v>
      </c>
    </row>
    <row r="1805" spans="1:7" hidden="1" x14ac:dyDescent="0.2">
      <c r="A1805" t="s">
        <v>52</v>
      </c>
      <c r="B1805" t="s">
        <v>139</v>
      </c>
      <c r="C1805" s="4">
        <f>(0.832079466311379/(0.00247367761416449+0.832079466311379+0.0127000784696626)) * 1.04157988509822%</f>
        <v>1.0229258644341016E-2</v>
      </c>
      <c r="D1805" t="s">
        <v>242</v>
      </c>
      <c r="E1805" t="s">
        <v>316</v>
      </c>
      <c r="F1805" t="s">
        <v>394</v>
      </c>
      <c r="G1805" s="4" t="s">
        <v>245</v>
      </c>
    </row>
    <row r="1806" spans="1:7" hidden="1" x14ac:dyDescent="0.2">
      <c r="A1806" t="s">
        <v>52</v>
      </c>
      <c r="B1806" t="s">
        <v>139</v>
      </c>
      <c r="C1806" s="4">
        <f>(0.0127000784696626/(0.00247367761416449+0.832079466311379+0.0127000784696626)) * 1.04157988509822%</f>
        <v>1.5612978414851285E-4</v>
      </c>
      <c r="D1806" t="s">
        <v>256</v>
      </c>
      <c r="E1806" t="s">
        <v>281</v>
      </c>
      <c r="F1806" t="s">
        <v>394</v>
      </c>
      <c r="G1806" s="4" t="s">
        <v>245</v>
      </c>
    </row>
    <row r="1807" spans="1:7" hidden="1" x14ac:dyDescent="0.2">
      <c r="A1807" t="s">
        <v>52</v>
      </c>
      <c r="B1807" t="s">
        <v>112</v>
      </c>
      <c r="C1807" s="4">
        <f>(0.00247367761416449/(0.00247367761416449+0.832079466311379+0.0127000784696626))*1.73832678812721%</f>
        <v>5.075295021878301E-5</v>
      </c>
      <c r="D1807" t="s">
        <v>242</v>
      </c>
      <c r="E1807" t="s">
        <v>396</v>
      </c>
      <c r="F1807" t="s">
        <v>394</v>
      </c>
      <c r="G1807" s="4" t="s">
        <v>245</v>
      </c>
    </row>
    <row r="1808" spans="1:7" hidden="1" x14ac:dyDescent="0.2">
      <c r="A1808" t="s">
        <v>52</v>
      </c>
      <c r="B1808" t="s">
        <v>112</v>
      </c>
      <c r="C1808" s="4">
        <f>(0.832079466311379/(0.00247367761416449+0.832079466311379+0.0127000784696626)) * 1.73832678812721%</f>
        <v>1.7071944820116234E-2</v>
      </c>
      <c r="D1808" t="s">
        <v>242</v>
      </c>
      <c r="E1808" t="s">
        <v>316</v>
      </c>
      <c r="F1808" t="s">
        <v>394</v>
      </c>
      <c r="G1808" s="4" t="s">
        <v>245</v>
      </c>
    </row>
    <row r="1809" spans="1:8" hidden="1" x14ac:dyDescent="0.2">
      <c r="A1809" t="s">
        <v>52</v>
      </c>
      <c r="B1809" t="s">
        <v>112</v>
      </c>
      <c r="C1809" s="4">
        <f>(0.0127000784696626/(0.00247367761416449+0.832079466311379+0.0127000784696626)) * 1.73832678812721%</f>
        <v>2.6057011093708456E-4</v>
      </c>
      <c r="D1809" t="s">
        <v>256</v>
      </c>
      <c r="E1809" t="s">
        <v>281</v>
      </c>
      <c r="F1809" t="s">
        <v>394</v>
      </c>
      <c r="G1809" s="4" t="s">
        <v>245</v>
      </c>
    </row>
    <row r="1810" spans="1:8" hidden="1" x14ac:dyDescent="0.2">
      <c r="A1810" t="s">
        <v>52</v>
      </c>
      <c r="B1810" t="s">
        <v>113</v>
      </c>
      <c r="C1810" s="4">
        <f>(0.00247367761416449/(0.00247367761416449+0.832079466311379+0.0127000784696626))*6.32476455222546%</f>
        <v>1.846605958425416E-4</v>
      </c>
      <c r="D1810" t="s">
        <v>242</v>
      </c>
      <c r="E1810" t="s">
        <v>396</v>
      </c>
      <c r="F1810" t="s">
        <v>394</v>
      </c>
      <c r="G1810" s="4" t="s">
        <v>245</v>
      </c>
    </row>
    <row r="1811" spans="1:8" hidden="1" x14ac:dyDescent="0.2">
      <c r="A1811" t="s">
        <v>52</v>
      </c>
      <c r="B1811" t="s">
        <v>113</v>
      </c>
      <c r="C1811" s="4">
        <f>(0.832079466311379/(0.00247367761416449+0.832079466311379+0.0127000784696626)) * 6.32476455222546%</f>
        <v>6.2114921183575852E-2</v>
      </c>
      <c r="D1811" t="s">
        <v>242</v>
      </c>
      <c r="E1811" t="s">
        <v>316</v>
      </c>
      <c r="F1811" t="s">
        <v>394</v>
      </c>
      <c r="G1811" s="4" t="s">
        <v>245</v>
      </c>
    </row>
    <row r="1812" spans="1:8" hidden="1" x14ac:dyDescent="0.2">
      <c r="A1812" t="s">
        <v>52</v>
      </c>
      <c r="B1812" t="s">
        <v>113</v>
      </c>
      <c r="C1812" s="4">
        <f>(0.0127000784696626/(0.00247367761416449+0.832079466311379+0.0127000784696626)) * 6.32476455222546%</f>
        <v>9.4806374283620885E-4</v>
      </c>
      <c r="D1812" t="s">
        <v>256</v>
      </c>
      <c r="E1812" t="s">
        <v>281</v>
      </c>
      <c r="F1812" t="s">
        <v>394</v>
      </c>
      <c r="G1812" s="4" t="s">
        <v>245</v>
      </c>
    </row>
    <row r="1813" spans="1:8" hidden="1" x14ac:dyDescent="0.2">
      <c r="A1813" t="s">
        <v>52</v>
      </c>
      <c r="B1813" t="s">
        <v>140</v>
      </c>
      <c r="C1813" s="4">
        <f>(0.00247367761416449/(0.00247367761416449+0.832079466311379+0.0127000784696626))*0.00240402246283622%</f>
        <v>7.0188892683758174E-8</v>
      </c>
      <c r="D1813" t="s">
        <v>242</v>
      </c>
      <c r="E1813" t="s">
        <v>396</v>
      </c>
      <c r="F1813" t="s">
        <v>394</v>
      </c>
      <c r="G1813" s="4" t="s">
        <v>245</v>
      </c>
    </row>
    <row r="1814" spans="1:8" hidden="1" x14ac:dyDescent="0.2">
      <c r="A1814" t="s">
        <v>52</v>
      </c>
      <c r="B1814" t="s">
        <v>140</v>
      </c>
      <c r="C1814" s="4">
        <f>(0.832079466311379/(0.00247367761416449+0.832079466311379+0.0127000784696626)) * 0.00240402246283622%</f>
        <v>2.3609679786431783E-5</v>
      </c>
      <c r="D1814" t="s">
        <v>242</v>
      </c>
      <c r="E1814" t="s">
        <v>316</v>
      </c>
      <c r="F1814" t="s">
        <v>394</v>
      </c>
      <c r="G1814" s="4" t="s">
        <v>245</v>
      </c>
    </row>
    <row r="1815" spans="1:8" hidden="1" x14ac:dyDescent="0.2">
      <c r="A1815" t="s">
        <v>52</v>
      </c>
      <c r="B1815" t="s">
        <v>140</v>
      </c>
      <c r="C1815" s="4">
        <f>(0.0127000784696626/(0.00247367761416449+0.832079466311379+0.0127000784696626)) * 0.00240402246283622%</f>
        <v>3.6035594924665922E-7</v>
      </c>
      <c r="D1815" t="s">
        <v>256</v>
      </c>
      <c r="E1815" t="s">
        <v>281</v>
      </c>
      <c r="F1815" t="s">
        <v>394</v>
      </c>
      <c r="G1815" s="4" t="s">
        <v>245</v>
      </c>
    </row>
    <row r="1816" spans="1:8" hidden="1" x14ac:dyDescent="0.2">
      <c r="A1816" t="s">
        <v>52</v>
      </c>
      <c r="B1816" t="s">
        <v>180</v>
      </c>
      <c r="C1816" s="4">
        <f>(0.00247367761416449/(0.00247367761416449+0.832079466311379+0.0127000784696626))*0.50397052720912%</f>
        <v>1.4714144229886023E-5</v>
      </c>
      <c r="D1816" t="s">
        <v>242</v>
      </c>
      <c r="E1816" t="s">
        <v>396</v>
      </c>
      <c r="F1816" t="s">
        <v>394</v>
      </c>
      <c r="G1816" s="4" t="s">
        <v>245</v>
      </c>
    </row>
    <row r="1817" spans="1:8" hidden="1" x14ac:dyDescent="0.2">
      <c r="A1817" t="s">
        <v>52</v>
      </c>
      <c r="B1817" t="s">
        <v>180</v>
      </c>
      <c r="C1817" s="4">
        <f>(0.832079466311379/(0.00247367761416449+0.832079466311379+0.0127000784696626)) * 0.50397052720912%</f>
        <v>4.9494474170465137E-3</v>
      </c>
      <c r="D1817" t="s">
        <v>242</v>
      </c>
      <c r="E1817" t="s">
        <v>316</v>
      </c>
      <c r="F1817" t="s">
        <v>394</v>
      </c>
      <c r="G1817" s="4" t="s">
        <v>245</v>
      </c>
    </row>
    <row r="1818" spans="1:8" hidden="1" x14ac:dyDescent="0.2">
      <c r="A1818" t="s">
        <v>52</v>
      </c>
      <c r="B1818" t="s">
        <v>180</v>
      </c>
      <c r="C1818" s="4">
        <f>(0.0127000784696626/(0.00247367761416449+0.832079466311379+0.0127000784696626)) * 0.50397052720912%</f>
        <v>7.5543710814799604E-5</v>
      </c>
      <c r="D1818" t="s">
        <v>256</v>
      </c>
      <c r="E1818" t="s">
        <v>281</v>
      </c>
      <c r="F1818" t="s">
        <v>394</v>
      </c>
      <c r="G1818" s="4" t="s">
        <v>245</v>
      </c>
    </row>
    <row r="1819" spans="1:8" hidden="1" x14ac:dyDescent="0.2">
      <c r="A1819" t="s">
        <v>52</v>
      </c>
      <c r="B1819" t="s">
        <v>115</v>
      </c>
      <c r="C1819" s="4">
        <f>(0.00247367761416449/(0.00247367761416449+0.832079466311379+0.0127000784696626))*0.228600681466062%</f>
        <v>6.6743256133828126E-6</v>
      </c>
      <c r="D1819" t="s">
        <v>242</v>
      </c>
      <c r="E1819" t="s">
        <v>396</v>
      </c>
      <c r="F1819" t="s">
        <v>394</v>
      </c>
      <c r="G1819" s="4" t="s">
        <v>245</v>
      </c>
    </row>
    <row r="1820" spans="1:8" hidden="1" x14ac:dyDescent="0.2">
      <c r="A1820" t="s">
        <v>52</v>
      </c>
      <c r="B1820" t="s">
        <v>115</v>
      </c>
      <c r="C1820" s="4">
        <f>(0.832079466311379/(0.00247367761416449+0.832079466311379+0.0127000784696626)) * 0.228600681466062%</f>
        <v>2.2450659142370546E-3</v>
      </c>
      <c r="D1820" t="s">
        <v>242</v>
      </c>
      <c r="E1820" t="s">
        <v>316</v>
      </c>
      <c r="F1820" t="s">
        <v>394</v>
      </c>
      <c r="G1820" s="4" t="s">
        <v>245</v>
      </c>
    </row>
    <row r="1821" spans="1:8" hidden="1" x14ac:dyDescent="0.2">
      <c r="A1821" t="s">
        <v>52</v>
      </c>
      <c r="B1821" t="s">
        <v>115</v>
      </c>
      <c r="C1821" s="4">
        <f>(0.0127000784696626/(0.00247367761416449+0.832079466311379+0.0127000784696626)) * 0.228600681466062%</f>
        <v>3.4266574810182268E-5</v>
      </c>
      <c r="D1821" t="s">
        <v>256</v>
      </c>
      <c r="E1821" t="s">
        <v>281</v>
      </c>
      <c r="F1821" t="s">
        <v>394</v>
      </c>
      <c r="G1821" s="4" t="s">
        <v>245</v>
      </c>
    </row>
    <row r="1822" spans="1:8" hidden="1" x14ac:dyDescent="0.2">
      <c r="A1822" t="s">
        <v>53</v>
      </c>
      <c r="B1822" t="s">
        <v>183</v>
      </c>
      <c r="C1822" s="4">
        <v>6.9943899746610736E-4</v>
      </c>
      <c r="D1822" t="s">
        <v>242</v>
      </c>
      <c r="E1822" t="s">
        <v>397</v>
      </c>
      <c r="F1822" t="s">
        <v>398</v>
      </c>
      <c r="G1822" t="s">
        <v>245</v>
      </c>
      <c r="H1822" t="s">
        <v>399</v>
      </c>
    </row>
    <row r="1823" spans="1:8" hidden="1" x14ac:dyDescent="0.2">
      <c r="A1823" t="s">
        <v>53</v>
      </c>
      <c r="B1823" t="s">
        <v>124</v>
      </c>
      <c r="C1823" s="4">
        <v>2.4210127116838218E-3</v>
      </c>
      <c r="D1823" t="s">
        <v>242</v>
      </c>
      <c r="E1823" t="s">
        <v>397</v>
      </c>
      <c r="F1823" t="s">
        <v>398</v>
      </c>
      <c r="G1823" t="s">
        <v>245</v>
      </c>
    </row>
    <row r="1824" spans="1:8" hidden="1" x14ac:dyDescent="0.2">
      <c r="A1824" t="s">
        <v>53</v>
      </c>
      <c r="B1824" t="s">
        <v>83</v>
      </c>
      <c r="C1824" s="4">
        <v>1.351500540658397E-2</v>
      </c>
      <c r="D1824" t="s">
        <v>242</v>
      </c>
      <c r="E1824" t="s">
        <v>397</v>
      </c>
      <c r="F1824" t="s">
        <v>398</v>
      </c>
      <c r="G1824" t="s">
        <v>245</v>
      </c>
    </row>
    <row r="1825" spans="1:7" hidden="1" x14ac:dyDescent="0.2">
      <c r="A1825" t="s">
        <v>53</v>
      </c>
      <c r="B1825" t="s">
        <v>181</v>
      </c>
      <c r="C1825" s="4">
        <v>2.1301096741013271E-3</v>
      </c>
      <c r="D1825" t="s">
        <v>242</v>
      </c>
      <c r="E1825" t="s">
        <v>397</v>
      </c>
      <c r="F1825" t="s">
        <v>398</v>
      </c>
      <c r="G1825" t="s">
        <v>245</v>
      </c>
    </row>
    <row r="1826" spans="1:7" hidden="1" x14ac:dyDescent="0.2">
      <c r="A1826" t="s">
        <v>53</v>
      </c>
      <c r="B1826" t="s">
        <v>163</v>
      </c>
      <c r="C1826" s="4">
        <v>1.103075705099287E-2</v>
      </c>
      <c r="D1826" t="s">
        <v>242</v>
      </c>
      <c r="E1826" t="s">
        <v>397</v>
      </c>
      <c r="F1826" t="s">
        <v>398</v>
      </c>
      <c r="G1826" t="s">
        <v>245</v>
      </c>
    </row>
    <row r="1827" spans="1:7" hidden="1" x14ac:dyDescent="0.2">
      <c r="A1827" t="s">
        <v>53</v>
      </c>
      <c r="B1827" t="s">
        <v>144</v>
      </c>
      <c r="C1827" s="4">
        <v>1.4147743357837171E-4</v>
      </c>
      <c r="D1827" t="s">
        <v>242</v>
      </c>
      <c r="E1827" t="s">
        <v>397</v>
      </c>
      <c r="F1827" t="s">
        <v>398</v>
      </c>
      <c r="G1827" t="s">
        <v>245</v>
      </c>
    </row>
    <row r="1828" spans="1:7" hidden="1" x14ac:dyDescent="0.2">
      <c r="A1828" t="s">
        <v>53</v>
      </c>
      <c r="B1828" t="s">
        <v>84</v>
      </c>
      <c r="C1828" s="4">
        <v>4.1330486213906352E-7</v>
      </c>
      <c r="D1828" t="s">
        <v>242</v>
      </c>
      <c r="E1828" t="s">
        <v>397</v>
      </c>
      <c r="F1828" t="s">
        <v>398</v>
      </c>
      <c r="G1828" t="s">
        <v>245</v>
      </c>
    </row>
    <row r="1829" spans="1:7" hidden="1" x14ac:dyDescent="0.2">
      <c r="A1829" t="s">
        <v>53</v>
      </c>
      <c r="B1829" t="s">
        <v>85</v>
      </c>
      <c r="C1829" s="4">
        <v>2.018116773534322E-2</v>
      </c>
      <c r="D1829" t="s">
        <v>242</v>
      </c>
      <c r="E1829" t="s">
        <v>397</v>
      </c>
      <c r="F1829" t="s">
        <v>398</v>
      </c>
      <c r="G1829" t="s">
        <v>245</v>
      </c>
    </row>
    <row r="1830" spans="1:7" hidden="1" x14ac:dyDescent="0.2">
      <c r="A1830" t="s">
        <v>53</v>
      </c>
      <c r="B1830" t="s">
        <v>147</v>
      </c>
      <c r="C1830" s="4">
        <v>8.106911285494324E-3</v>
      </c>
      <c r="D1830" t="s">
        <v>242</v>
      </c>
      <c r="E1830" t="s">
        <v>397</v>
      </c>
      <c r="F1830" t="s">
        <v>398</v>
      </c>
      <c r="G1830" t="s">
        <v>245</v>
      </c>
    </row>
    <row r="1831" spans="1:7" hidden="1" x14ac:dyDescent="0.2">
      <c r="A1831" t="s">
        <v>53</v>
      </c>
      <c r="B1831" t="s">
        <v>116</v>
      </c>
      <c r="C1831" s="4">
        <v>1.8798758349533162E-2</v>
      </c>
      <c r="D1831" t="s">
        <v>242</v>
      </c>
      <c r="E1831" t="s">
        <v>397</v>
      </c>
      <c r="F1831" t="s">
        <v>398</v>
      </c>
      <c r="G1831" t="s">
        <v>245</v>
      </c>
    </row>
    <row r="1832" spans="1:7" hidden="1" x14ac:dyDescent="0.2">
      <c r="A1832" t="s">
        <v>53</v>
      </c>
      <c r="B1832" t="s">
        <v>145</v>
      </c>
      <c r="C1832" s="4">
        <v>1.065054837050664E-3</v>
      </c>
      <c r="D1832" t="s">
        <v>242</v>
      </c>
      <c r="E1832" t="s">
        <v>397</v>
      </c>
      <c r="F1832" t="s">
        <v>398</v>
      </c>
      <c r="G1832" t="s">
        <v>245</v>
      </c>
    </row>
    <row r="1833" spans="1:7" hidden="1" x14ac:dyDescent="0.2">
      <c r="A1833" t="s">
        <v>53</v>
      </c>
      <c r="B1833" t="s">
        <v>86</v>
      </c>
      <c r="C1833" s="4">
        <v>0.45620460332914842</v>
      </c>
      <c r="D1833" t="s">
        <v>242</v>
      </c>
      <c r="E1833" t="s">
        <v>397</v>
      </c>
      <c r="F1833" t="s">
        <v>398</v>
      </c>
      <c r="G1833" t="s">
        <v>245</v>
      </c>
    </row>
    <row r="1834" spans="1:7" hidden="1" x14ac:dyDescent="0.2">
      <c r="A1834" t="s">
        <v>53</v>
      </c>
      <c r="B1834" t="s">
        <v>87</v>
      </c>
      <c r="C1834" s="4">
        <v>3.3859206013700199E-3</v>
      </c>
      <c r="D1834" t="s">
        <v>242</v>
      </c>
      <c r="E1834" t="s">
        <v>397</v>
      </c>
      <c r="F1834" t="s">
        <v>398</v>
      </c>
      <c r="G1834" t="s">
        <v>245</v>
      </c>
    </row>
    <row r="1835" spans="1:7" hidden="1" x14ac:dyDescent="0.2">
      <c r="A1835" t="s">
        <v>53</v>
      </c>
      <c r="B1835" t="s">
        <v>190</v>
      </c>
      <c r="C1835" s="4">
        <v>7.5348655636121571E-4</v>
      </c>
      <c r="D1835" t="s">
        <v>242</v>
      </c>
      <c r="E1835" t="s">
        <v>397</v>
      </c>
      <c r="F1835" t="s">
        <v>398</v>
      </c>
      <c r="G1835" t="s">
        <v>245</v>
      </c>
    </row>
    <row r="1836" spans="1:7" hidden="1" x14ac:dyDescent="0.2">
      <c r="A1836" t="s">
        <v>53</v>
      </c>
      <c r="B1836" t="s">
        <v>88</v>
      </c>
      <c r="C1836" s="4">
        <v>3.8946035086180982E-4</v>
      </c>
      <c r="D1836" t="s">
        <v>242</v>
      </c>
      <c r="E1836" t="s">
        <v>397</v>
      </c>
      <c r="F1836" t="s">
        <v>398</v>
      </c>
      <c r="G1836" t="s">
        <v>245</v>
      </c>
    </row>
    <row r="1837" spans="1:7" hidden="1" x14ac:dyDescent="0.2">
      <c r="A1837" t="s">
        <v>53</v>
      </c>
      <c r="B1837" t="s">
        <v>160</v>
      </c>
      <c r="C1837" s="4">
        <v>3.97408521287561E-4</v>
      </c>
      <c r="D1837" t="s">
        <v>242</v>
      </c>
      <c r="E1837" t="s">
        <v>397</v>
      </c>
      <c r="F1837" t="s">
        <v>398</v>
      </c>
      <c r="G1837" t="s">
        <v>245</v>
      </c>
    </row>
    <row r="1838" spans="1:7" hidden="1" x14ac:dyDescent="0.2">
      <c r="A1838" t="s">
        <v>53</v>
      </c>
      <c r="B1838" t="s">
        <v>217</v>
      </c>
      <c r="C1838" s="4">
        <v>3.3859206013700199E-3</v>
      </c>
      <c r="D1838" t="s">
        <v>242</v>
      </c>
      <c r="E1838" t="s">
        <v>397</v>
      </c>
      <c r="F1838" t="s">
        <v>398</v>
      </c>
      <c r="G1838" t="s">
        <v>245</v>
      </c>
    </row>
    <row r="1839" spans="1:7" hidden="1" x14ac:dyDescent="0.2">
      <c r="A1839" t="s">
        <v>53</v>
      </c>
      <c r="B1839" t="s">
        <v>89</v>
      </c>
      <c r="C1839" s="4">
        <v>5.2457924809958055E-4</v>
      </c>
      <c r="D1839" t="s">
        <v>242</v>
      </c>
      <c r="E1839" t="s">
        <v>397</v>
      </c>
      <c r="F1839" t="s">
        <v>398</v>
      </c>
      <c r="G1839" t="s">
        <v>245</v>
      </c>
    </row>
    <row r="1840" spans="1:7" hidden="1" x14ac:dyDescent="0.2">
      <c r="A1840" t="s">
        <v>53</v>
      </c>
      <c r="B1840" t="s">
        <v>128</v>
      </c>
      <c r="C1840" s="4">
        <v>2.0983169923983222E-3</v>
      </c>
      <c r="D1840" t="s">
        <v>242</v>
      </c>
      <c r="E1840" t="s">
        <v>397</v>
      </c>
      <c r="F1840" t="s">
        <v>398</v>
      </c>
      <c r="G1840" t="s">
        <v>245</v>
      </c>
    </row>
    <row r="1841" spans="1:7" hidden="1" x14ac:dyDescent="0.2">
      <c r="A1841" t="s">
        <v>53</v>
      </c>
      <c r="B1841" t="s">
        <v>231</v>
      </c>
      <c r="C1841" s="4">
        <v>7.1771978944533518E-4</v>
      </c>
      <c r="D1841" t="s">
        <v>242</v>
      </c>
      <c r="E1841" t="s">
        <v>397</v>
      </c>
      <c r="F1841" t="s">
        <v>398</v>
      </c>
      <c r="G1841" t="s">
        <v>245</v>
      </c>
    </row>
    <row r="1842" spans="1:7" hidden="1" x14ac:dyDescent="0.2">
      <c r="A1842" t="s">
        <v>53</v>
      </c>
      <c r="B1842" t="s">
        <v>91</v>
      </c>
      <c r="C1842" s="4">
        <v>5.4047558895108294E-3</v>
      </c>
      <c r="D1842" t="s">
        <v>242</v>
      </c>
      <c r="E1842" t="s">
        <v>397</v>
      </c>
      <c r="F1842" t="s">
        <v>398</v>
      </c>
      <c r="G1842" t="s">
        <v>245</v>
      </c>
    </row>
    <row r="1843" spans="1:7" hidden="1" x14ac:dyDescent="0.2">
      <c r="A1843" t="s">
        <v>53</v>
      </c>
      <c r="B1843" t="s">
        <v>117</v>
      </c>
      <c r="C1843" s="4">
        <v>2.607009437450911E-2</v>
      </c>
      <c r="D1843" t="s">
        <v>242</v>
      </c>
      <c r="E1843" t="s">
        <v>397</v>
      </c>
      <c r="F1843" t="s">
        <v>398</v>
      </c>
      <c r="G1843" t="s">
        <v>245</v>
      </c>
    </row>
    <row r="1844" spans="1:7" hidden="1" x14ac:dyDescent="0.2">
      <c r="A1844" t="s">
        <v>53</v>
      </c>
      <c r="B1844" t="s">
        <v>92</v>
      </c>
      <c r="C1844" s="4">
        <v>2.8305024520185239E-4</v>
      </c>
      <c r="D1844" t="s">
        <v>242</v>
      </c>
      <c r="E1844" t="s">
        <v>397</v>
      </c>
      <c r="F1844" t="s">
        <v>398</v>
      </c>
      <c r="G1844" t="s">
        <v>245</v>
      </c>
    </row>
    <row r="1845" spans="1:7" hidden="1" x14ac:dyDescent="0.2">
      <c r="A1845" t="s">
        <v>53</v>
      </c>
      <c r="B1845" t="s">
        <v>93</v>
      </c>
      <c r="C1845" s="4">
        <v>2.2413840600618439E-3</v>
      </c>
      <c r="D1845" t="s">
        <v>242</v>
      </c>
      <c r="E1845" t="s">
        <v>397</v>
      </c>
      <c r="F1845" t="s">
        <v>398</v>
      </c>
      <c r="G1845" t="s">
        <v>245</v>
      </c>
    </row>
    <row r="1846" spans="1:7" hidden="1" x14ac:dyDescent="0.2">
      <c r="A1846" t="s">
        <v>53</v>
      </c>
      <c r="B1846" t="s">
        <v>196</v>
      </c>
      <c r="C1846" s="4">
        <v>9.37884110238644E-4</v>
      </c>
      <c r="D1846" t="s">
        <v>242</v>
      </c>
      <c r="E1846" t="s">
        <v>397</v>
      </c>
      <c r="F1846" t="s">
        <v>398</v>
      </c>
      <c r="G1846" t="s">
        <v>245</v>
      </c>
    </row>
    <row r="1847" spans="1:7" hidden="1" x14ac:dyDescent="0.2">
      <c r="A1847" t="s">
        <v>53</v>
      </c>
      <c r="B1847" t="s">
        <v>197</v>
      </c>
      <c r="C1847" s="4">
        <v>4.5304571426781949E-4</v>
      </c>
      <c r="D1847" t="s">
        <v>242</v>
      </c>
      <c r="E1847" t="s">
        <v>397</v>
      </c>
      <c r="F1847" t="s">
        <v>398</v>
      </c>
      <c r="G1847" t="s">
        <v>245</v>
      </c>
    </row>
    <row r="1848" spans="1:7" hidden="1" x14ac:dyDescent="0.2">
      <c r="A1848" t="s">
        <v>53</v>
      </c>
      <c r="B1848" t="s">
        <v>97</v>
      </c>
      <c r="C1848" s="4">
        <v>4.8581729264045997E-2</v>
      </c>
      <c r="D1848" t="s">
        <v>242</v>
      </c>
      <c r="E1848" t="s">
        <v>397</v>
      </c>
      <c r="F1848" t="s">
        <v>398</v>
      </c>
      <c r="G1848" t="s">
        <v>245</v>
      </c>
    </row>
    <row r="1849" spans="1:7" hidden="1" x14ac:dyDescent="0.2">
      <c r="A1849" t="s">
        <v>53</v>
      </c>
      <c r="B1849" t="s">
        <v>98</v>
      </c>
      <c r="C1849" s="4">
        <v>4.1489449622421374E-3</v>
      </c>
      <c r="D1849" t="s">
        <v>242</v>
      </c>
      <c r="E1849" t="s">
        <v>397</v>
      </c>
      <c r="F1849" t="s">
        <v>398</v>
      </c>
      <c r="G1849" t="s">
        <v>245</v>
      </c>
    </row>
    <row r="1850" spans="1:7" hidden="1" x14ac:dyDescent="0.2">
      <c r="A1850" t="s">
        <v>53</v>
      </c>
      <c r="B1850" t="s">
        <v>99</v>
      </c>
      <c r="C1850" s="4">
        <v>9.7921459645255032E-3</v>
      </c>
      <c r="D1850" t="s">
        <v>242</v>
      </c>
      <c r="E1850" t="s">
        <v>397</v>
      </c>
      <c r="F1850" t="s">
        <v>398</v>
      </c>
      <c r="G1850" t="s">
        <v>245</v>
      </c>
    </row>
    <row r="1851" spans="1:7" hidden="1" x14ac:dyDescent="0.2">
      <c r="A1851" t="s">
        <v>53</v>
      </c>
      <c r="B1851" t="s">
        <v>118</v>
      </c>
      <c r="C1851" s="4">
        <v>1.1890462956923821E-3</v>
      </c>
      <c r="D1851" t="s">
        <v>242</v>
      </c>
      <c r="E1851" t="s">
        <v>397</v>
      </c>
      <c r="F1851" t="s">
        <v>398</v>
      </c>
      <c r="G1851" t="s">
        <v>245</v>
      </c>
    </row>
    <row r="1852" spans="1:7" hidden="1" x14ac:dyDescent="0.2">
      <c r="A1852" t="s">
        <v>53</v>
      </c>
      <c r="B1852" t="s">
        <v>222</v>
      </c>
      <c r="C1852" s="4">
        <v>2.0012380388181972E-3</v>
      </c>
      <c r="D1852" t="s">
        <v>242</v>
      </c>
      <c r="E1852" t="s">
        <v>397</v>
      </c>
      <c r="F1852" t="s">
        <v>398</v>
      </c>
      <c r="G1852" t="s">
        <v>245</v>
      </c>
    </row>
    <row r="1853" spans="1:7" hidden="1" x14ac:dyDescent="0.2">
      <c r="A1853" t="s">
        <v>53</v>
      </c>
      <c r="B1853" t="s">
        <v>182</v>
      </c>
      <c r="C1853" s="4">
        <v>1.289670133282393E-2</v>
      </c>
      <c r="D1853" t="s">
        <v>242</v>
      </c>
      <c r="E1853" t="s">
        <v>397</v>
      </c>
      <c r="F1853" t="s">
        <v>398</v>
      </c>
      <c r="G1853" t="s">
        <v>245</v>
      </c>
    </row>
    <row r="1854" spans="1:7" hidden="1" x14ac:dyDescent="0.2">
      <c r="A1854" t="s">
        <v>53</v>
      </c>
      <c r="B1854" t="s">
        <v>119</v>
      </c>
      <c r="C1854" s="4">
        <v>1.9085146826313831E-2</v>
      </c>
      <c r="D1854" t="s">
        <v>242</v>
      </c>
      <c r="E1854" t="s">
        <v>397</v>
      </c>
      <c r="F1854" t="s">
        <v>398</v>
      </c>
      <c r="G1854" t="s">
        <v>245</v>
      </c>
    </row>
    <row r="1855" spans="1:7" hidden="1" x14ac:dyDescent="0.2">
      <c r="A1855" t="s">
        <v>53</v>
      </c>
      <c r="B1855" t="s">
        <v>102</v>
      </c>
      <c r="C1855" s="4">
        <v>1.0461477292418871E-2</v>
      </c>
      <c r="D1855" t="s">
        <v>242</v>
      </c>
      <c r="E1855" t="s">
        <v>397</v>
      </c>
      <c r="F1855" t="s">
        <v>398</v>
      </c>
      <c r="G1855" t="s">
        <v>245</v>
      </c>
    </row>
    <row r="1856" spans="1:7" hidden="1" x14ac:dyDescent="0.2">
      <c r="A1856" t="s">
        <v>53</v>
      </c>
      <c r="B1856" t="s">
        <v>198</v>
      </c>
      <c r="C1856" s="4">
        <v>8.5840240598113174E-5</v>
      </c>
      <c r="D1856" t="s">
        <v>242</v>
      </c>
      <c r="E1856" t="s">
        <v>397</v>
      </c>
      <c r="F1856" t="s">
        <v>398</v>
      </c>
      <c r="G1856" t="s">
        <v>245</v>
      </c>
    </row>
    <row r="1857" spans="1:7" hidden="1" x14ac:dyDescent="0.2">
      <c r="A1857" t="s">
        <v>53</v>
      </c>
      <c r="B1857" t="s">
        <v>148</v>
      </c>
      <c r="C1857" s="4">
        <v>6.343593780200564E-2</v>
      </c>
      <c r="D1857" t="s">
        <v>242</v>
      </c>
      <c r="E1857" t="s">
        <v>397</v>
      </c>
      <c r="F1857" t="s">
        <v>398</v>
      </c>
      <c r="G1857" t="s">
        <v>245</v>
      </c>
    </row>
    <row r="1858" spans="1:7" hidden="1" x14ac:dyDescent="0.2">
      <c r="A1858" t="s">
        <v>53</v>
      </c>
      <c r="B1858" t="s">
        <v>149</v>
      </c>
      <c r="C1858" s="4">
        <v>2.066524310695317E-4</v>
      </c>
      <c r="D1858" t="s">
        <v>242</v>
      </c>
      <c r="E1858" t="s">
        <v>397</v>
      </c>
      <c r="F1858" t="s">
        <v>398</v>
      </c>
      <c r="G1858" t="s">
        <v>245</v>
      </c>
    </row>
    <row r="1859" spans="1:7" hidden="1" x14ac:dyDescent="0.2">
      <c r="A1859" t="s">
        <v>53</v>
      </c>
      <c r="B1859" t="s">
        <v>232</v>
      </c>
      <c r="C1859" s="4">
        <v>1.36549567914406E-3</v>
      </c>
      <c r="D1859" t="s">
        <v>242</v>
      </c>
      <c r="E1859" t="s">
        <v>397</v>
      </c>
      <c r="F1859" t="s">
        <v>398</v>
      </c>
      <c r="G1859" t="s">
        <v>245</v>
      </c>
    </row>
    <row r="1860" spans="1:7" hidden="1" x14ac:dyDescent="0.2">
      <c r="A1860" t="s">
        <v>53</v>
      </c>
      <c r="B1860" t="s">
        <v>103</v>
      </c>
      <c r="C1860" s="4">
        <v>2.559310877091893E-3</v>
      </c>
      <c r="D1860" t="s">
        <v>242</v>
      </c>
      <c r="E1860" t="s">
        <v>397</v>
      </c>
      <c r="F1860" t="s">
        <v>398</v>
      </c>
      <c r="G1860" t="s">
        <v>245</v>
      </c>
    </row>
    <row r="1861" spans="1:7" hidden="1" x14ac:dyDescent="0.2">
      <c r="A1861" t="s">
        <v>53</v>
      </c>
      <c r="B1861" t="s">
        <v>150</v>
      </c>
      <c r="C1861" s="4">
        <v>3.4004673428832302E-2</v>
      </c>
      <c r="D1861" t="s">
        <v>242</v>
      </c>
      <c r="E1861" t="s">
        <v>397</v>
      </c>
      <c r="F1861" t="s">
        <v>398</v>
      </c>
      <c r="G1861" t="s">
        <v>245</v>
      </c>
    </row>
    <row r="1862" spans="1:7" hidden="1" x14ac:dyDescent="0.2">
      <c r="A1862" t="s">
        <v>53</v>
      </c>
      <c r="B1862" t="s">
        <v>161</v>
      </c>
      <c r="C1862" s="4">
        <v>6.0406095235709272E-4</v>
      </c>
      <c r="D1862" t="s">
        <v>242</v>
      </c>
      <c r="E1862" t="s">
        <v>397</v>
      </c>
      <c r="F1862" t="s">
        <v>398</v>
      </c>
      <c r="G1862" t="s">
        <v>245</v>
      </c>
    </row>
    <row r="1863" spans="1:7" hidden="1" x14ac:dyDescent="0.2">
      <c r="A1863" t="s">
        <v>53</v>
      </c>
      <c r="B1863" t="s">
        <v>105</v>
      </c>
      <c r="C1863" s="4">
        <v>3.1772016459897932E-4</v>
      </c>
      <c r="D1863" t="s">
        <v>242</v>
      </c>
      <c r="E1863" t="s">
        <v>397</v>
      </c>
      <c r="F1863" t="s">
        <v>398</v>
      </c>
      <c r="G1863" t="s">
        <v>245</v>
      </c>
    </row>
    <row r="1864" spans="1:7" hidden="1" x14ac:dyDescent="0.2">
      <c r="A1864" t="s">
        <v>53</v>
      </c>
      <c r="B1864" t="s">
        <v>174</v>
      </c>
      <c r="C1864" s="4">
        <v>8.8542618542868589E-4</v>
      </c>
      <c r="D1864" t="s">
        <v>242</v>
      </c>
      <c r="E1864" t="s">
        <v>397</v>
      </c>
      <c r="F1864" t="s">
        <v>398</v>
      </c>
      <c r="G1864" t="s">
        <v>245</v>
      </c>
    </row>
    <row r="1865" spans="1:7" hidden="1" x14ac:dyDescent="0.2">
      <c r="A1865" t="s">
        <v>53</v>
      </c>
      <c r="B1865" t="s">
        <v>130</v>
      </c>
      <c r="C1865" s="4">
        <v>2.797755989864429E-3</v>
      </c>
      <c r="D1865" t="s">
        <v>242</v>
      </c>
      <c r="E1865" t="s">
        <v>397</v>
      </c>
      <c r="F1865" t="s">
        <v>398</v>
      </c>
      <c r="G1865" t="s">
        <v>245</v>
      </c>
    </row>
    <row r="1866" spans="1:7" hidden="1" x14ac:dyDescent="0.2">
      <c r="A1866" t="s">
        <v>53</v>
      </c>
      <c r="B1866" t="s">
        <v>203</v>
      </c>
      <c r="C1866" s="4">
        <v>9.6967679194164881E-4</v>
      </c>
      <c r="D1866" t="s">
        <v>242</v>
      </c>
      <c r="E1866" t="s">
        <v>397</v>
      </c>
      <c r="F1866" t="s">
        <v>398</v>
      </c>
      <c r="G1866" t="s">
        <v>245</v>
      </c>
    </row>
    <row r="1867" spans="1:7" hidden="1" x14ac:dyDescent="0.2">
      <c r="A1867" t="s">
        <v>53</v>
      </c>
      <c r="B1867" t="s">
        <v>133</v>
      </c>
      <c r="C1867" s="4">
        <v>6.9943899746610734E-7</v>
      </c>
      <c r="D1867" t="s">
        <v>242</v>
      </c>
      <c r="E1867" t="s">
        <v>397</v>
      </c>
      <c r="F1867" t="s">
        <v>398</v>
      </c>
      <c r="G1867" t="s">
        <v>245</v>
      </c>
    </row>
    <row r="1868" spans="1:7" hidden="1" x14ac:dyDescent="0.2">
      <c r="A1868" t="s">
        <v>53</v>
      </c>
      <c r="B1868" t="s">
        <v>106</v>
      </c>
      <c r="C1868" s="4">
        <v>1.89166456132879E-3</v>
      </c>
      <c r="D1868" t="s">
        <v>242</v>
      </c>
      <c r="E1868" t="s">
        <v>397</v>
      </c>
      <c r="F1868" t="s">
        <v>398</v>
      </c>
      <c r="G1868" t="s">
        <v>245</v>
      </c>
    </row>
    <row r="1869" spans="1:7" hidden="1" x14ac:dyDescent="0.2">
      <c r="A1869" t="s">
        <v>53</v>
      </c>
      <c r="B1869" t="s">
        <v>146</v>
      </c>
      <c r="C1869" s="4">
        <v>1.0841304460724661E-3</v>
      </c>
      <c r="D1869" t="s">
        <v>242</v>
      </c>
      <c r="E1869" t="s">
        <v>397</v>
      </c>
      <c r="F1869" t="s">
        <v>398</v>
      </c>
      <c r="G1869" t="s">
        <v>245</v>
      </c>
    </row>
    <row r="1870" spans="1:7" hidden="1" x14ac:dyDescent="0.2">
      <c r="A1870" t="s">
        <v>53</v>
      </c>
      <c r="B1870" t="s">
        <v>156</v>
      </c>
      <c r="C1870" s="4">
        <v>7.9481704257512199E-4</v>
      </c>
      <c r="D1870" t="s">
        <v>242</v>
      </c>
      <c r="E1870" t="s">
        <v>397</v>
      </c>
      <c r="F1870" t="s">
        <v>398</v>
      </c>
      <c r="G1870" t="s">
        <v>245</v>
      </c>
    </row>
    <row r="1871" spans="1:7" hidden="1" x14ac:dyDescent="0.2">
      <c r="A1871" t="s">
        <v>53</v>
      </c>
      <c r="B1871" t="s">
        <v>151</v>
      </c>
      <c r="C1871" s="4">
        <v>1.206325618197966E-2</v>
      </c>
      <c r="D1871" t="s">
        <v>242</v>
      </c>
      <c r="E1871" t="s">
        <v>397</v>
      </c>
      <c r="F1871" t="s">
        <v>398</v>
      </c>
      <c r="G1871" t="s">
        <v>245</v>
      </c>
    </row>
    <row r="1872" spans="1:7" hidden="1" x14ac:dyDescent="0.2">
      <c r="A1872" t="s">
        <v>53</v>
      </c>
      <c r="B1872" t="s">
        <v>178</v>
      </c>
      <c r="C1872" s="4">
        <v>7.6302436087211719E-4</v>
      </c>
      <c r="D1872" t="s">
        <v>242</v>
      </c>
      <c r="E1872" t="s">
        <v>397</v>
      </c>
      <c r="F1872" t="s">
        <v>398</v>
      </c>
      <c r="G1872" t="s">
        <v>245</v>
      </c>
    </row>
    <row r="1873" spans="1:7" hidden="1" x14ac:dyDescent="0.2">
      <c r="A1873" t="s">
        <v>53</v>
      </c>
      <c r="B1873" t="s">
        <v>120</v>
      </c>
      <c r="C1873" s="4">
        <v>1.653219448556254E-3</v>
      </c>
      <c r="D1873" t="s">
        <v>242</v>
      </c>
      <c r="E1873" t="s">
        <v>397</v>
      </c>
      <c r="F1873" t="s">
        <v>398</v>
      </c>
      <c r="G1873" t="s">
        <v>245</v>
      </c>
    </row>
    <row r="1874" spans="1:7" hidden="1" x14ac:dyDescent="0.2">
      <c r="A1874" t="s">
        <v>53</v>
      </c>
      <c r="B1874" t="s">
        <v>107</v>
      </c>
      <c r="C1874" s="4">
        <v>1.117512761860621E-2</v>
      </c>
      <c r="D1874" t="s">
        <v>242</v>
      </c>
      <c r="E1874" t="s">
        <v>397</v>
      </c>
      <c r="F1874" t="s">
        <v>398</v>
      </c>
      <c r="G1874" t="s">
        <v>245</v>
      </c>
    </row>
    <row r="1875" spans="1:7" hidden="1" x14ac:dyDescent="0.2">
      <c r="A1875" t="s">
        <v>53</v>
      </c>
      <c r="B1875" t="s">
        <v>108</v>
      </c>
      <c r="C1875" s="4">
        <v>5.4683412529168392E-3</v>
      </c>
      <c r="D1875" t="s">
        <v>242</v>
      </c>
      <c r="E1875" t="s">
        <v>397</v>
      </c>
      <c r="F1875" t="s">
        <v>398</v>
      </c>
      <c r="G1875" t="s">
        <v>245</v>
      </c>
    </row>
    <row r="1876" spans="1:7" hidden="1" x14ac:dyDescent="0.2">
      <c r="A1876" t="s">
        <v>53</v>
      </c>
      <c r="B1876" t="s">
        <v>205</v>
      </c>
      <c r="C1876" s="4">
        <v>3.231567131701931E-4</v>
      </c>
      <c r="D1876" t="s">
        <v>242</v>
      </c>
      <c r="E1876" t="s">
        <v>397</v>
      </c>
      <c r="F1876" t="s">
        <v>398</v>
      </c>
      <c r="G1876" t="s">
        <v>245</v>
      </c>
    </row>
    <row r="1877" spans="1:7" hidden="1" x14ac:dyDescent="0.2">
      <c r="A1877" t="s">
        <v>53</v>
      </c>
      <c r="B1877" t="s">
        <v>179</v>
      </c>
      <c r="C1877" s="4">
        <v>1.176329223011181E-3</v>
      </c>
      <c r="D1877" t="s">
        <v>242</v>
      </c>
      <c r="E1877" t="s">
        <v>397</v>
      </c>
      <c r="F1877" t="s">
        <v>398</v>
      </c>
      <c r="G1877" t="s">
        <v>245</v>
      </c>
    </row>
    <row r="1878" spans="1:7" hidden="1" x14ac:dyDescent="0.2">
      <c r="A1878" t="s">
        <v>53</v>
      </c>
      <c r="B1878" t="s">
        <v>135</v>
      </c>
      <c r="C1878" s="4">
        <v>6.9943899746610736E-4</v>
      </c>
      <c r="D1878" t="s">
        <v>242</v>
      </c>
      <c r="E1878" t="s">
        <v>397</v>
      </c>
      <c r="F1878" t="s">
        <v>398</v>
      </c>
      <c r="G1878" t="s">
        <v>245</v>
      </c>
    </row>
    <row r="1879" spans="1:7" hidden="1" x14ac:dyDescent="0.2">
      <c r="A1879" t="s">
        <v>53</v>
      </c>
      <c r="B1879" t="s">
        <v>136</v>
      </c>
      <c r="C1879" s="4">
        <v>9.37884110238644E-4</v>
      </c>
      <c r="D1879" t="s">
        <v>242</v>
      </c>
      <c r="E1879" t="s">
        <v>397</v>
      </c>
      <c r="F1879" t="s">
        <v>398</v>
      </c>
      <c r="G1879" t="s">
        <v>245</v>
      </c>
    </row>
    <row r="1880" spans="1:7" hidden="1" x14ac:dyDescent="0.2">
      <c r="A1880" t="s">
        <v>53</v>
      </c>
      <c r="B1880" t="s">
        <v>137</v>
      </c>
      <c r="C1880" s="4">
        <v>4.4350790975691808E-3</v>
      </c>
      <c r="D1880" t="s">
        <v>242</v>
      </c>
      <c r="E1880" t="s">
        <v>397</v>
      </c>
      <c r="F1880" t="s">
        <v>398</v>
      </c>
      <c r="G1880" t="s">
        <v>245</v>
      </c>
    </row>
    <row r="1881" spans="1:7" hidden="1" x14ac:dyDescent="0.2">
      <c r="A1881" t="s">
        <v>53</v>
      </c>
      <c r="B1881" t="s">
        <v>121</v>
      </c>
      <c r="C1881" s="4">
        <v>1.4894871377857791E-2</v>
      </c>
      <c r="D1881" t="s">
        <v>242</v>
      </c>
      <c r="E1881" t="s">
        <v>397</v>
      </c>
      <c r="F1881" t="s">
        <v>398</v>
      </c>
      <c r="G1881" t="s">
        <v>245</v>
      </c>
    </row>
    <row r="1882" spans="1:7" hidden="1" x14ac:dyDescent="0.2">
      <c r="A1882" t="s">
        <v>53</v>
      </c>
      <c r="B1882" t="s">
        <v>211</v>
      </c>
      <c r="C1882" s="4">
        <v>3.64884607905387E-4</v>
      </c>
      <c r="D1882" t="s">
        <v>242</v>
      </c>
      <c r="E1882" t="s">
        <v>397</v>
      </c>
      <c r="F1882" t="s">
        <v>398</v>
      </c>
      <c r="G1882" t="s">
        <v>245</v>
      </c>
    </row>
    <row r="1883" spans="1:7" hidden="1" x14ac:dyDescent="0.2">
      <c r="A1883" t="s">
        <v>53</v>
      </c>
      <c r="B1883" t="s">
        <v>138</v>
      </c>
      <c r="C1883" s="4">
        <v>5.9953526411667003E-3</v>
      </c>
      <c r="D1883" t="s">
        <v>242</v>
      </c>
      <c r="E1883" t="s">
        <v>397</v>
      </c>
      <c r="F1883" t="s">
        <v>398</v>
      </c>
      <c r="G1883" t="s">
        <v>245</v>
      </c>
    </row>
    <row r="1884" spans="1:7" hidden="1" x14ac:dyDescent="0.2">
      <c r="A1884" t="s">
        <v>53</v>
      </c>
      <c r="B1884" t="s">
        <v>208</v>
      </c>
      <c r="C1884" s="4">
        <v>4.3079083707571611E-3</v>
      </c>
      <c r="D1884" t="s">
        <v>242</v>
      </c>
      <c r="E1884" t="s">
        <v>397</v>
      </c>
      <c r="F1884" t="s">
        <v>398</v>
      </c>
      <c r="G1884" t="s">
        <v>245</v>
      </c>
    </row>
    <row r="1885" spans="1:7" hidden="1" x14ac:dyDescent="0.2">
      <c r="A1885" t="s">
        <v>53</v>
      </c>
      <c r="B1885" t="s">
        <v>139</v>
      </c>
      <c r="C1885" s="4">
        <v>9.2198776938714157E-5</v>
      </c>
      <c r="D1885" t="s">
        <v>242</v>
      </c>
      <c r="E1885" t="s">
        <v>397</v>
      </c>
      <c r="F1885" t="s">
        <v>398</v>
      </c>
      <c r="G1885" t="s">
        <v>245</v>
      </c>
    </row>
    <row r="1886" spans="1:7" hidden="1" x14ac:dyDescent="0.2">
      <c r="A1886" t="s">
        <v>53</v>
      </c>
      <c r="B1886" t="s">
        <v>111</v>
      </c>
      <c r="C1886" s="4">
        <v>1.3988779949322149E-4</v>
      </c>
      <c r="D1886" t="s">
        <v>242</v>
      </c>
      <c r="E1886" t="s">
        <v>397</v>
      </c>
      <c r="F1886" t="s">
        <v>398</v>
      </c>
      <c r="G1886" t="s">
        <v>245</v>
      </c>
    </row>
    <row r="1887" spans="1:7" hidden="1" x14ac:dyDescent="0.2">
      <c r="A1887" t="s">
        <v>53</v>
      </c>
      <c r="B1887" t="s">
        <v>215</v>
      </c>
      <c r="C1887" s="4">
        <v>6.6923594984825271E-3</v>
      </c>
      <c r="D1887" t="s">
        <v>242</v>
      </c>
      <c r="E1887" t="s">
        <v>397</v>
      </c>
      <c r="F1887" t="s">
        <v>398</v>
      </c>
      <c r="G1887" t="s">
        <v>245</v>
      </c>
    </row>
    <row r="1888" spans="1:7" hidden="1" x14ac:dyDescent="0.2">
      <c r="A1888" t="s">
        <v>53</v>
      </c>
      <c r="B1888" t="s">
        <v>112</v>
      </c>
      <c r="C1888" s="4">
        <v>4.5463534835296984E-3</v>
      </c>
      <c r="D1888" t="s">
        <v>242</v>
      </c>
      <c r="E1888" t="s">
        <v>397</v>
      </c>
      <c r="F1888" t="s">
        <v>398</v>
      </c>
      <c r="G1888" t="s">
        <v>245</v>
      </c>
    </row>
    <row r="1889" spans="1:8" hidden="1" x14ac:dyDescent="0.2">
      <c r="A1889" t="s">
        <v>53</v>
      </c>
      <c r="B1889" t="s">
        <v>113</v>
      </c>
      <c r="C1889" s="4">
        <v>8.8622100247126107E-2</v>
      </c>
      <c r="D1889" t="s">
        <v>242</v>
      </c>
      <c r="E1889" t="s">
        <v>397</v>
      </c>
      <c r="F1889" t="s">
        <v>398</v>
      </c>
      <c r="G1889" t="s">
        <v>245</v>
      </c>
    </row>
    <row r="1890" spans="1:8" hidden="1" x14ac:dyDescent="0.2">
      <c r="A1890" t="s">
        <v>53</v>
      </c>
      <c r="B1890" t="s">
        <v>142</v>
      </c>
      <c r="C1890" s="4">
        <v>6.3585363406009761E-5</v>
      </c>
      <c r="D1890" t="s">
        <v>242</v>
      </c>
      <c r="E1890" t="s">
        <v>397</v>
      </c>
      <c r="F1890" t="s">
        <v>398</v>
      </c>
      <c r="G1890" t="s">
        <v>245</v>
      </c>
    </row>
    <row r="1891" spans="1:8" hidden="1" x14ac:dyDescent="0.2">
      <c r="A1891" t="s">
        <v>53</v>
      </c>
      <c r="B1891" t="s">
        <v>122</v>
      </c>
      <c r="C1891" s="4">
        <v>2.7367140409946598E-3</v>
      </c>
      <c r="D1891" t="s">
        <v>242</v>
      </c>
      <c r="E1891" t="s">
        <v>397</v>
      </c>
      <c r="F1891" t="s">
        <v>398</v>
      </c>
      <c r="G1891" t="s">
        <v>245</v>
      </c>
    </row>
    <row r="1892" spans="1:8" hidden="1" x14ac:dyDescent="0.2">
      <c r="A1892" t="s">
        <v>53</v>
      </c>
      <c r="B1892" t="s">
        <v>123</v>
      </c>
      <c r="C1892" s="4">
        <v>1.971146265586303E-3</v>
      </c>
      <c r="D1892" t="s">
        <v>242</v>
      </c>
      <c r="E1892" t="s">
        <v>397</v>
      </c>
      <c r="F1892" t="s">
        <v>398</v>
      </c>
      <c r="G1892" t="s">
        <v>245</v>
      </c>
    </row>
    <row r="1893" spans="1:8" hidden="1" x14ac:dyDescent="0.2">
      <c r="A1893" t="s">
        <v>53</v>
      </c>
      <c r="B1893" t="s">
        <v>140</v>
      </c>
      <c r="C1893" s="4">
        <v>2.4909566114304321E-2</v>
      </c>
      <c r="D1893" t="s">
        <v>242</v>
      </c>
      <c r="E1893" t="s">
        <v>397</v>
      </c>
      <c r="F1893" t="s">
        <v>398</v>
      </c>
      <c r="G1893" t="s">
        <v>245</v>
      </c>
    </row>
    <row r="1894" spans="1:8" hidden="1" x14ac:dyDescent="0.2">
      <c r="A1894" t="s">
        <v>53</v>
      </c>
      <c r="B1894" t="s">
        <v>180</v>
      </c>
      <c r="C1894" s="4">
        <v>1.7215737142177139E-3</v>
      </c>
      <c r="D1894" t="s">
        <v>242</v>
      </c>
      <c r="E1894" t="s">
        <v>397</v>
      </c>
      <c r="F1894" t="s">
        <v>398</v>
      </c>
      <c r="G1894" t="s">
        <v>245</v>
      </c>
    </row>
    <row r="1895" spans="1:8" hidden="1" x14ac:dyDescent="0.2">
      <c r="A1895" t="s">
        <v>53</v>
      </c>
      <c r="B1895" t="s">
        <v>114</v>
      </c>
      <c r="C1895" s="4">
        <v>7.5660223916811011E-4</v>
      </c>
      <c r="D1895" t="s">
        <v>242</v>
      </c>
      <c r="E1895" t="s">
        <v>397</v>
      </c>
      <c r="F1895" t="s">
        <v>398</v>
      </c>
      <c r="G1895" t="s">
        <v>245</v>
      </c>
    </row>
    <row r="1896" spans="1:8" hidden="1" x14ac:dyDescent="0.2">
      <c r="A1896" t="s">
        <v>53</v>
      </c>
      <c r="B1896" t="s">
        <v>115</v>
      </c>
      <c r="C1896" s="4">
        <v>2.6260755086682029E-3</v>
      </c>
      <c r="D1896" t="s">
        <v>242</v>
      </c>
      <c r="E1896" t="s">
        <v>397</v>
      </c>
      <c r="F1896" t="s">
        <v>398</v>
      </c>
      <c r="G1896" t="s">
        <v>245</v>
      </c>
    </row>
    <row r="1897" spans="1:8" hidden="1" x14ac:dyDescent="0.2">
      <c r="A1897" t="s">
        <v>53</v>
      </c>
      <c r="B1897" t="s">
        <v>143</v>
      </c>
      <c r="C1897" s="4">
        <v>3.6593376640158622E-4</v>
      </c>
      <c r="D1897" t="s">
        <v>242</v>
      </c>
      <c r="E1897" t="s">
        <v>397</v>
      </c>
      <c r="F1897" t="s">
        <v>398</v>
      </c>
      <c r="G1897" t="s">
        <v>245</v>
      </c>
    </row>
    <row r="1898" spans="1:8" hidden="1" x14ac:dyDescent="0.2">
      <c r="A1898" t="s">
        <v>486</v>
      </c>
      <c r="B1898" t="s">
        <v>124</v>
      </c>
      <c r="D1898" t="s">
        <v>476</v>
      </c>
      <c r="E1898" t="s">
        <v>487</v>
      </c>
      <c r="F1898" t="s">
        <v>486</v>
      </c>
      <c r="G1898" t="s">
        <v>245</v>
      </c>
      <c r="H1898" t="s">
        <v>482</v>
      </c>
    </row>
    <row r="1899" spans="1:8" ht="16" hidden="1" x14ac:dyDescent="0.2">
      <c r="A1899" t="s">
        <v>485</v>
      </c>
      <c r="B1899" t="s">
        <v>124</v>
      </c>
      <c r="D1899" t="s">
        <v>476</v>
      </c>
      <c r="E1899" s="5" t="s">
        <v>611</v>
      </c>
      <c r="F1899" t="s">
        <v>481</v>
      </c>
      <c r="G1899" t="s">
        <v>245</v>
      </c>
      <c r="H1899" t="s">
        <v>482</v>
      </c>
    </row>
    <row r="1900" spans="1:8" hidden="1" x14ac:dyDescent="0.2">
      <c r="A1900" t="s">
        <v>484</v>
      </c>
      <c r="B1900" t="s">
        <v>124</v>
      </c>
      <c r="D1900" t="s">
        <v>476</v>
      </c>
      <c r="E1900" t="s">
        <v>483</v>
      </c>
      <c r="F1900" t="s">
        <v>481</v>
      </c>
      <c r="G1900" t="s">
        <v>245</v>
      </c>
      <c r="H1900" t="s">
        <v>482</v>
      </c>
    </row>
    <row r="1901" spans="1:8" hidden="1" x14ac:dyDescent="0.2">
      <c r="A1901" t="s">
        <v>470</v>
      </c>
      <c r="B1901" t="s">
        <v>124</v>
      </c>
      <c r="C1901" s="4">
        <f>(0.0783801436969301/(0.0783801436969301+0.261267145656433+0.0326583932070542)) * 7.35119953980983%</f>
        <v>1.5476209557494406E-2</v>
      </c>
      <c r="D1901" t="s">
        <v>476</v>
      </c>
      <c r="E1901" t="s">
        <v>473</v>
      </c>
      <c r="F1901" t="s">
        <v>475</v>
      </c>
      <c r="G1901" t="s">
        <v>245</v>
      </c>
    </row>
    <row r="1902" spans="1:8" hidden="1" x14ac:dyDescent="0.2">
      <c r="A1902" t="s">
        <v>486</v>
      </c>
      <c r="B1902" t="s">
        <v>124</v>
      </c>
      <c r="D1902" t="s">
        <v>476</v>
      </c>
      <c r="E1902" t="s">
        <v>503</v>
      </c>
      <c r="F1902" t="s">
        <v>486</v>
      </c>
      <c r="G1902" t="s">
        <v>245</v>
      </c>
      <c r="H1902" t="s">
        <v>482</v>
      </c>
    </row>
    <row r="1903" spans="1:8" hidden="1" x14ac:dyDescent="0.2">
      <c r="A1903" t="s">
        <v>493</v>
      </c>
      <c r="B1903" t="s">
        <v>124</v>
      </c>
      <c r="D1903" t="s">
        <v>476</v>
      </c>
      <c r="E1903" t="s">
        <v>502</v>
      </c>
      <c r="F1903" t="s">
        <v>493</v>
      </c>
      <c r="G1903" t="s">
        <v>245</v>
      </c>
      <c r="H1903" t="s">
        <v>482</v>
      </c>
    </row>
    <row r="1904" spans="1:8" hidden="1" x14ac:dyDescent="0.2">
      <c r="A1904" t="s">
        <v>489</v>
      </c>
      <c r="B1904" t="s">
        <v>124</v>
      </c>
      <c r="D1904" t="s">
        <v>476</v>
      </c>
      <c r="E1904" t="s">
        <v>501</v>
      </c>
      <c r="F1904" t="s">
        <v>489</v>
      </c>
      <c r="G1904" t="s">
        <v>245</v>
      </c>
      <c r="H1904" t="s">
        <v>482</v>
      </c>
    </row>
    <row r="1905" spans="1:8" hidden="1" x14ac:dyDescent="0.2">
      <c r="A1905" t="s">
        <v>500</v>
      </c>
      <c r="B1905" t="s">
        <v>124</v>
      </c>
      <c r="D1905" t="s">
        <v>476</v>
      </c>
      <c r="E1905" t="s">
        <v>499</v>
      </c>
      <c r="F1905" t="s">
        <v>500</v>
      </c>
      <c r="G1905" t="s">
        <v>245</v>
      </c>
      <c r="H1905" t="s">
        <v>482</v>
      </c>
    </row>
    <row r="1906" spans="1:8" hidden="1" x14ac:dyDescent="0.2">
      <c r="A1906" t="s">
        <v>498</v>
      </c>
      <c r="B1906" t="s">
        <v>124</v>
      </c>
      <c r="D1906" t="s">
        <v>476</v>
      </c>
      <c r="E1906" t="s">
        <v>497</v>
      </c>
      <c r="F1906" t="s">
        <v>498</v>
      </c>
      <c r="G1906" t="s">
        <v>245</v>
      </c>
      <c r="H1906" t="s">
        <v>482</v>
      </c>
    </row>
    <row r="1907" spans="1:8" hidden="1" x14ac:dyDescent="0.2">
      <c r="A1907" t="s">
        <v>485</v>
      </c>
      <c r="B1907" t="s">
        <v>124</v>
      </c>
      <c r="D1907" t="s">
        <v>476</v>
      </c>
      <c r="E1907" t="s">
        <v>496</v>
      </c>
      <c r="F1907" t="s">
        <v>481</v>
      </c>
      <c r="G1907" t="s">
        <v>245</v>
      </c>
      <c r="H1907" t="s">
        <v>482</v>
      </c>
    </row>
    <row r="1908" spans="1:8" hidden="1" x14ac:dyDescent="0.2">
      <c r="A1908" t="s">
        <v>484</v>
      </c>
      <c r="B1908" t="s">
        <v>124</v>
      </c>
      <c r="D1908" t="s">
        <v>476</v>
      </c>
      <c r="E1908" t="s">
        <v>495</v>
      </c>
      <c r="F1908" t="s">
        <v>481</v>
      </c>
      <c r="G1908" t="s">
        <v>245</v>
      </c>
      <c r="H1908" t="s">
        <v>482</v>
      </c>
    </row>
    <row r="1909" spans="1:8" hidden="1" x14ac:dyDescent="0.2">
      <c r="A1909" t="s">
        <v>470</v>
      </c>
      <c r="B1909" t="s">
        <v>124</v>
      </c>
      <c r="C1909" s="4">
        <f>(0.261267145656433/(0.0783801436969301+0.261267145656433+0.0326583932070542)) * 7.35119953980983%</f>
        <v>5.1587365191647895E-2</v>
      </c>
      <c r="D1909" t="s">
        <v>476</v>
      </c>
      <c r="E1909" t="s">
        <v>472</v>
      </c>
      <c r="F1909" t="s">
        <v>475</v>
      </c>
      <c r="G1909" t="s">
        <v>245</v>
      </c>
    </row>
    <row r="1910" spans="1:8" hidden="1" x14ac:dyDescent="0.2">
      <c r="A1910" t="s">
        <v>486</v>
      </c>
      <c r="B1910" t="s">
        <v>124</v>
      </c>
      <c r="D1910" t="s">
        <v>476</v>
      </c>
      <c r="E1910" t="s">
        <v>494</v>
      </c>
      <c r="F1910" t="s">
        <v>486</v>
      </c>
      <c r="G1910" t="s">
        <v>245</v>
      </c>
      <c r="H1910" t="s">
        <v>482</v>
      </c>
    </row>
    <row r="1911" spans="1:8" hidden="1" x14ac:dyDescent="0.2">
      <c r="A1911" t="s">
        <v>493</v>
      </c>
      <c r="B1911" t="s">
        <v>124</v>
      </c>
      <c r="D1911" t="s">
        <v>476</v>
      </c>
      <c r="E1911" t="s">
        <v>492</v>
      </c>
      <c r="F1911" t="s">
        <v>493</v>
      </c>
      <c r="G1911" t="s">
        <v>245</v>
      </c>
      <c r="H1911" t="s">
        <v>482</v>
      </c>
    </row>
    <row r="1912" spans="1:8" hidden="1" x14ac:dyDescent="0.2">
      <c r="A1912" t="s">
        <v>489</v>
      </c>
      <c r="B1912" t="s">
        <v>124</v>
      </c>
      <c r="D1912" t="s">
        <v>476</v>
      </c>
      <c r="E1912" t="s">
        <v>491</v>
      </c>
      <c r="F1912" t="s">
        <v>489</v>
      </c>
      <c r="G1912" t="s">
        <v>245</v>
      </c>
      <c r="H1912" t="s">
        <v>482</v>
      </c>
    </row>
    <row r="1913" spans="1:8" hidden="1" x14ac:dyDescent="0.2">
      <c r="A1913" t="s">
        <v>485</v>
      </c>
      <c r="B1913" t="s">
        <v>124</v>
      </c>
      <c r="D1913" t="s">
        <v>476</v>
      </c>
      <c r="E1913" t="s">
        <v>490</v>
      </c>
      <c r="F1913" t="s">
        <v>481</v>
      </c>
      <c r="G1913" t="s">
        <v>245</v>
      </c>
      <c r="H1913" t="s">
        <v>482</v>
      </c>
    </row>
    <row r="1914" spans="1:8" hidden="1" x14ac:dyDescent="0.2">
      <c r="A1914" t="s">
        <v>484</v>
      </c>
      <c r="B1914" t="s">
        <v>124</v>
      </c>
      <c r="D1914" t="s">
        <v>476</v>
      </c>
      <c r="E1914" t="s">
        <v>488</v>
      </c>
      <c r="F1914" t="s">
        <v>481</v>
      </c>
      <c r="G1914" t="s">
        <v>245</v>
      </c>
      <c r="H1914" t="s">
        <v>482</v>
      </c>
    </row>
    <row r="1915" spans="1:8" hidden="1" x14ac:dyDescent="0.2">
      <c r="A1915" t="s">
        <v>470</v>
      </c>
      <c r="B1915" t="s">
        <v>124</v>
      </c>
      <c r="C1915" s="4">
        <f>(0.0326583932070542/(0.0783801436969301+0.261267145656433+0.0326583932070542)) * 7.35119953980983%</f>
        <v>6.4484206489560008E-3</v>
      </c>
      <c r="D1915" t="s">
        <v>476</v>
      </c>
      <c r="E1915" t="s">
        <v>474</v>
      </c>
      <c r="F1915" t="s">
        <v>475</v>
      </c>
      <c r="G1915" t="s">
        <v>245</v>
      </c>
    </row>
    <row r="1916" spans="1:8" hidden="1" x14ac:dyDescent="0.2">
      <c r="A1916" t="s">
        <v>504</v>
      </c>
      <c r="B1916" t="s">
        <v>83</v>
      </c>
      <c r="C1916" s="2">
        <f>C1917/($C$1932+$C$1934+$C$1936+$C$1938+$C$1940+$C$1942+$C$1921+$C$1917)</f>
        <v>0.77349043268801587</v>
      </c>
      <c r="D1916" t="s">
        <v>308</v>
      </c>
      <c r="E1916" t="s">
        <v>505</v>
      </c>
      <c r="F1916" t="s">
        <v>504</v>
      </c>
      <c r="G1916" t="s">
        <v>245</v>
      </c>
    </row>
    <row r="1917" spans="1:8" hidden="1" x14ac:dyDescent="0.2">
      <c r="A1917" t="s">
        <v>470</v>
      </c>
      <c r="B1917" t="s">
        <v>83</v>
      </c>
      <c r="C1917" s="2">
        <v>0.51378244171488507</v>
      </c>
      <c r="D1917" t="s">
        <v>254</v>
      </c>
      <c r="E1917" t="s">
        <v>478</v>
      </c>
      <c r="F1917" t="s">
        <v>479</v>
      </c>
      <c r="G1917" t="s">
        <v>245</v>
      </c>
    </row>
    <row r="1918" spans="1:8" hidden="1" x14ac:dyDescent="0.2">
      <c r="A1918" t="s">
        <v>470</v>
      </c>
      <c r="B1918" t="s">
        <v>144</v>
      </c>
      <c r="C1918" s="2">
        <v>5.646634859405136E-4</v>
      </c>
      <c r="D1918" t="s">
        <v>312</v>
      </c>
      <c r="E1918" t="s">
        <v>471</v>
      </c>
      <c r="F1918" t="s">
        <v>475</v>
      </c>
      <c r="G1918" t="s">
        <v>245</v>
      </c>
    </row>
    <row r="1919" spans="1:8" hidden="1" x14ac:dyDescent="0.2">
      <c r="A1919" t="s">
        <v>470</v>
      </c>
      <c r="B1919" t="s">
        <v>85</v>
      </c>
      <c r="C1919" s="2">
        <v>1.4507833384089601E-3</v>
      </c>
      <c r="D1919" t="s">
        <v>312</v>
      </c>
      <c r="E1919" t="s">
        <v>471</v>
      </c>
      <c r="F1919" t="s">
        <v>475</v>
      </c>
      <c r="G1919" t="s">
        <v>245</v>
      </c>
    </row>
    <row r="1920" spans="1:8" hidden="1" x14ac:dyDescent="0.2">
      <c r="A1920" t="s">
        <v>504</v>
      </c>
      <c r="B1920" t="s">
        <v>116</v>
      </c>
      <c r="C1920" s="2">
        <f>C1921/($C$1932+$C$1934+$C$1936+$C$1938+$C$1940+$C$1942+$C$1921+$C$1917)</f>
        <v>1.3967599245093771E-2</v>
      </c>
      <c r="D1920" t="s">
        <v>256</v>
      </c>
      <c r="E1920" t="s">
        <v>505</v>
      </c>
      <c r="F1920" t="s">
        <v>504</v>
      </c>
      <c r="G1920" t="s">
        <v>245</v>
      </c>
    </row>
    <row r="1921" spans="1:8" hidden="1" x14ac:dyDescent="0.2">
      <c r="A1921" t="s">
        <v>470</v>
      </c>
      <c r="B1921" t="s">
        <v>116</v>
      </c>
      <c r="C1921" s="2">
        <v>9.2778228944607986E-3</v>
      </c>
      <c r="D1921" t="s">
        <v>254</v>
      </c>
      <c r="E1921" t="s">
        <v>478</v>
      </c>
      <c r="F1921" t="s">
        <v>479</v>
      </c>
      <c r="G1921" t="s">
        <v>245</v>
      </c>
    </row>
    <row r="1922" spans="1:8" hidden="1" x14ac:dyDescent="0.2">
      <c r="A1922" t="s">
        <v>486</v>
      </c>
      <c r="B1922" t="s">
        <v>145</v>
      </c>
      <c r="C1922" s="2"/>
      <c r="E1922" t="s">
        <v>513</v>
      </c>
      <c r="F1922" t="s">
        <v>486</v>
      </c>
      <c r="G1922" t="s">
        <v>245</v>
      </c>
      <c r="H1922" t="s">
        <v>482</v>
      </c>
    </row>
    <row r="1923" spans="1:8" hidden="1" x14ac:dyDescent="0.2">
      <c r="A1923" t="s">
        <v>493</v>
      </c>
      <c r="B1923" t="s">
        <v>145</v>
      </c>
      <c r="C1923" s="2"/>
      <c r="E1923" t="s">
        <v>512</v>
      </c>
      <c r="F1923" t="s">
        <v>493</v>
      </c>
      <c r="G1923" t="s">
        <v>245</v>
      </c>
      <c r="H1923" t="s">
        <v>482</v>
      </c>
    </row>
    <row r="1924" spans="1:8" hidden="1" x14ac:dyDescent="0.2">
      <c r="A1924" t="s">
        <v>489</v>
      </c>
      <c r="B1924" t="s">
        <v>145</v>
      </c>
      <c r="C1924" s="2"/>
      <c r="E1924" t="s">
        <v>511</v>
      </c>
      <c r="F1924" t="s">
        <v>489</v>
      </c>
      <c r="G1924" t="s">
        <v>245</v>
      </c>
      <c r="H1924" t="s">
        <v>482</v>
      </c>
    </row>
    <row r="1925" spans="1:8" hidden="1" x14ac:dyDescent="0.2">
      <c r="A1925" t="s">
        <v>500</v>
      </c>
      <c r="B1925" t="s">
        <v>145</v>
      </c>
      <c r="C1925" s="2"/>
      <c r="E1925" t="s">
        <v>510</v>
      </c>
      <c r="F1925" t="s">
        <v>500</v>
      </c>
      <c r="G1925" t="s">
        <v>245</v>
      </c>
      <c r="H1925" t="s">
        <v>482</v>
      </c>
    </row>
    <row r="1926" spans="1:8" hidden="1" x14ac:dyDescent="0.2">
      <c r="A1926" t="s">
        <v>485</v>
      </c>
      <c r="B1926" t="s">
        <v>145</v>
      </c>
      <c r="C1926" s="2"/>
      <c r="E1926" t="s">
        <v>509</v>
      </c>
      <c r="F1926" t="s">
        <v>481</v>
      </c>
      <c r="G1926" t="s">
        <v>245</v>
      </c>
      <c r="H1926" t="s">
        <v>482</v>
      </c>
    </row>
    <row r="1927" spans="1:8" hidden="1" x14ac:dyDescent="0.2">
      <c r="A1927" t="s">
        <v>508</v>
      </c>
      <c r="B1927" t="s">
        <v>145</v>
      </c>
      <c r="C1927" s="2"/>
      <c r="E1927" t="s">
        <v>507</v>
      </c>
      <c r="F1927" t="s">
        <v>508</v>
      </c>
      <c r="G1927" t="s">
        <v>245</v>
      </c>
      <c r="H1927" t="s">
        <v>482</v>
      </c>
    </row>
    <row r="1928" spans="1:8" hidden="1" x14ac:dyDescent="0.2">
      <c r="A1928" t="s">
        <v>484</v>
      </c>
      <c r="B1928" t="s">
        <v>145</v>
      </c>
      <c r="C1928" s="2"/>
      <c r="E1928" t="s">
        <v>506</v>
      </c>
      <c r="F1928" t="s">
        <v>481</v>
      </c>
      <c r="G1928" t="s">
        <v>245</v>
      </c>
      <c r="H1928" t="s">
        <v>482</v>
      </c>
    </row>
    <row r="1929" spans="1:8" hidden="1" x14ac:dyDescent="0.2">
      <c r="A1929" t="s">
        <v>470</v>
      </c>
      <c r="B1929" t="s">
        <v>145</v>
      </c>
      <c r="C1929" s="2">
        <v>0.22691647210097113</v>
      </c>
      <c r="D1929" t="s">
        <v>312</v>
      </c>
      <c r="E1929" t="s">
        <v>471</v>
      </c>
      <c r="F1929" t="s">
        <v>475</v>
      </c>
      <c r="G1929" t="s">
        <v>245</v>
      </c>
    </row>
    <row r="1930" spans="1:8" hidden="1" x14ac:dyDescent="0.2">
      <c r="A1930" t="s">
        <v>470</v>
      </c>
      <c r="B1930" t="s">
        <v>86</v>
      </c>
      <c r="C1930" s="2">
        <f xml:space="preserve"> 11.0394883768145%* (1-0.6982)</f>
        <v>3.3317175921226155E-2</v>
      </c>
      <c r="D1930" t="s">
        <v>254</v>
      </c>
      <c r="E1930" t="s">
        <v>477</v>
      </c>
      <c r="F1930" t="s">
        <v>475</v>
      </c>
      <c r="G1930" t="s">
        <v>245</v>
      </c>
      <c r="H1930" t="s">
        <v>480</v>
      </c>
    </row>
    <row r="1931" spans="1:8" hidden="1" x14ac:dyDescent="0.2">
      <c r="A1931" t="s">
        <v>504</v>
      </c>
      <c r="B1931" t="s">
        <v>86</v>
      </c>
      <c r="C1931" s="2">
        <f>C1932/($C$1932+$C$1934+$C$1936+$C$1938+$C$1940+$C$1942+$C$1921+$C$1917)</f>
        <v>0.11603913398464914</v>
      </c>
      <c r="D1931" t="s">
        <v>256</v>
      </c>
      <c r="E1931" t="s">
        <v>505</v>
      </c>
      <c r="F1931" t="s">
        <v>504</v>
      </c>
      <c r="G1931" t="s">
        <v>245</v>
      </c>
      <c r="H1931" t="s">
        <v>482</v>
      </c>
    </row>
    <row r="1932" spans="1:8" hidden="1" x14ac:dyDescent="0.2">
      <c r="A1932" t="s">
        <v>470</v>
      </c>
      <c r="B1932" t="s">
        <v>86</v>
      </c>
      <c r="C1932" s="2">
        <f xml:space="preserve"> 11.0394883768145%* (0.6982)</f>
        <v>7.707770784691885E-2</v>
      </c>
      <c r="D1932" t="s">
        <v>254</v>
      </c>
      <c r="E1932" t="s">
        <v>478</v>
      </c>
      <c r="F1932" t="s">
        <v>479</v>
      </c>
      <c r="G1932" t="s">
        <v>245</v>
      </c>
    </row>
    <row r="1933" spans="1:8" hidden="1" x14ac:dyDescent="0.2">
      <c r="A1933" t="s">
        <v>504</v>
      </c>
      <c r="B1933" t="s">
        <v>175</v>
      </c>
      <c r="C1933" s="2">
        <f>C1934/($C$1932+$C$1934+$C$1936+$C$1938+$C$1940+$C$1942+$C$1921+$C$1917)</f>
        <v>2.801797888233991E-4</v>
      </c>
      <c r="D1933" t="s">
        <v>256</v>
      </c>
      <c r="E1933" t="s">
        <v>505</v>
      </c>
      <c r="F1933" t="s">
        <v>504</v>
      </c>
      <c r="G1933" t="s">
        <v>245</v>
      </c>
      <c r="H1933" t="s">
        <v>482</v>
      </c>
    </row>
    <row r="1934" spans="1:8" hidden="1" x14ac:dyDescent="0.2">
      <c r="A1934" t="s">
        <v>470</v>
      </c>
      <c r="B1934" t="s">
        <v>175</v>
      </c>
      <c r="C1934" s="2">
        <v>1.8610631746354009E-4</v>
      </c>
      <c r="D1934" t="s">
        <v>254</v>
      </c>
      <c r="E1934" t="s">
        <v>478</v>
      </c>
      <c r="F1934" t="s">
        <v>479</v>
      </c>
      <c r="G1934" t="s">
        <v>245</v>
      </c>
    </row>
    <row r="1935" spans="1:8" hidden="1" x14ac:dyDescent="0.2">
      <c r="A1935" t="s">
        <v>504</v>
      </c>
      <c r="B1935" t="s">
        <v>203</v>
      </c>
      <c r="C1935" s="2">
        <f>C1936/($C$1932+$C$1934+$C$1936+$C$1938+$C$1940+$C$1942+$C$1921+$C$1917)</f>
        <v>9.5515837098886068E-5</v>
      </c>
      <c r="D1935" t="s">
        <v>256</v>
      </c>
      <c r="E1935" t="s">
        <v>505</v>
      </c>
      <c r="F1935" t="s">
        <v>504</v>
      </c>
      <c r="G1935" t="s">
        <v>245</v>
      </c>
      <c r="H1935" t="s">
        <v>482</v>
      </c>
    </row>
    <row r="1936" spans="1:8" hidden="1" x14ac:dyDescent="0.2">
      <c r="A1936" t="s">
        <v>470</v>
      </c>
      <c r="B1936" t="s">
        <v>203</v>
      </c>
      <c r="C1936" s="2">
        <v>6.3445335498934122E-5</v>
      </c>
      <c r="D1936" t="s">
        <v>254</v>
      </c>
      <c r="E1936" t="s">
        <v>478</v>
      </c>
      <c r="F1936" t="s">
        <v>479</v>
      </c>
      <c r="G1936" t="s">
        <v>245</v>
      </c>
    </row>
    <row r="1937" spans="1:8" hidden="1" x14ac:dyDescent="0.2">
      <c r="A1937" t="s">
        <v>504</v>
      </c>
      <c r="B1937" t="s">
        <v>178</v>
      </c>
      <c r="C1937" s="2">
        <f>C1938/($C$1932+$C$1934+$C$1936+$C$1938+$C$1940+$C$1942+$C$1921+$C$1917)</f>
        <v>5.6672730012005722E-3</v>
      </c>
      <c r="D1937" t="s">
        <v>256</v>
      </c>
      <c r="E1937" t="s">
        <v>505</v>
      </c>
      <c r="F1937" t="s">
        <v>504</v>
      </c>
      <c r="G1937" t="s">
        <v>245</v>
      </c>
      <c r="H1937" t="s">
        <v>482</v>
      </c>
    </row>
    <row r="1938" spans="1:8" hidden="1" x14ac:dyDescent="0.2">
      <c r="A1938" t="s">
        <v>470</v>
      </c>
      <c r="B1938" t="s">
        <v>178</v>
      </c>
      <c r="C1938" s="2">
        <v>3.7644232396034242E-3</v>
      </c>
      <c r="D1938" t="s">
        <v>254</v>
      </c>
      <c r="E1938" t="s">
        <v>478</v>
      </c>
      <c r="F1938" t="s">
        <v>479</v>
      </c>
      <c r="G1938" t="s">
        <v>245</v>
      </c>
    </row>
    <row r="1939" spans="1:8" hidden="1" x14ac:dyDescent="0.2">
      <c r="A1939" t="s">
        <v>504</v>
      </c>
      <c r="B1939" t="s">
        <v>113</v>
      </c>
      <c r="C1939" s="2">
        <f>C1940/($C$1932+$C$1934+$C$1936+$C$1938+$C$1940+$C$1942+$C$1921+$C$1917)</f>
        <v>7.6412669679108841E-2</v>
      </c>
      <c r="D1939" t="s">
        <v>256</v>
      </c>
      <c r="E1939" t="s">
        <v>505</v>
      </c>
      <c r="F1939" t="s">
        <v>504</v>
      </c>
      <c r="G1939" t="s">
        <v>245</v>
      </c>
      <c r="H1939" t="s">
        <v>482</v>
      </c>
    </row>
    <row r="1940" spans="1:8" hidden="1" x14ac:dyDescent="0.2">
      <c r="A1940" t="s">
        <v>470</v>
      </c>
      <c r="B1940" t="s">
        <v>113</v>
      </c>
      <c r="C1940" s="2">
        <v>5.0756268399147292E-2</v>
      </c>
      <c r="D1940" t="s">
        <v>254</v>
      </c>
      <c r="E1940" t="s">
        <v>478</v>
      </c>
      <c r="F1940" t="s">
        <v>479</v>
      </c>
      <c r="G1940" t="s">
        <v>245</v>
      </c>
    </row>
    <row r="1941" spans="1:8" hidden="1" x14ac:dyDescent="0.2">
      <c r="A1941" t="s">
        <v>504</v>
      </c>
      <c r="B1941" t="s">
        <v>158</v>
      </c>
      <c r="C1941" s="2">
        <f>C1942/($C$1932+$C$1934+$C$1936+$C$1938+$C$1940+$C$1942+$C$1921+$C$1917)</f>
        <v>1.4047195776009509E-2</v>
      </c>
      <c r="D1941" t="s">
        <v>256</v>
      </c>
      <c r="E1941" t="s">
        <v>505</v>
      </c>
      <c r="F1941" t="s">
        <v>504</v>
      </c>
      <c r="G1941" t="s">
        <v>245</v>
      </c>
      <c r="H1941" t="s">
        <v>482</v>
      </c>
    </row>
    <row r="1942" spans="1:8" hidden="1" x14ac:dyDescent="0.2">
      <c r="A1942" t="s">
        <v>470</v>
      </c>
      <c r="B1942" t="s">
        <v>158</v>
      </c>
      <c r="C1942" s="2">
        <v>9.3306940073765773E-3</v>
      </c>
      <c r="D1942" t="s">
        <v>254</v>
      </c>
      <c r="E1942" t="s">
        <v>478</v>
      </c>
      <c r="F1942" t="s">
        <v>479</v>
      </c>
      <c r="G1942" t="s">
        <v>245</v>
      </c>
    </row>
    <row r="1943" spans="1:8" hidden="1" x14ac:dyDescent="0.2">
      <c r="A1943" t="s">
        <v>55</v>
      </c>
      <c r="B1943" t="s">
        <v>83</v>
      </c>
      <c r="C1943" s="4">
        <v>2.888830454684797E-2</v>
      </c>
      <c r="D1943" t="s">
        <v>335</v>
      </c>
      <c r="E1943" t="s">
        <v>379</v>
      </c>
      <c r="F1943" t="s">
        <v>380</v>
      </c>
      <c r="G1943" t="s">
        <v>245</v>
      </c>
    </row>
    <row r="1944" spans="1:8" hidden="1" x14ac:dyDescent="0.2">
      <c r="A1944" t="s">
        <v>55</v>
      </c>
      <c r="B1944" t="s">
        <v>181</v>
      </c>
      <c r="C1944" s="4">
        <v>2.4912062039326881E-2</v>
      </c>
      <c r="D1944" t="s">
        <v>256</v>
      </c>
      <c r="E1944" t="s">
        <v>379</v>
      </c>
      <c r="F1944" t="s">
        <v>380</v>
      </c>
      <c r="G1944" t="s">
        <v>245</v>
      </c>
    </row>
    <row r="1945" spans="1:8" hidden="1" x14ac:dyDescent="0.2">
      <c r="A1945" t="s">
        <v>55</v>
      </c>
      <c r="B1945" t="s">
        <v>85</v>
      </c>
      <c r="C1945" s="4">
        <v>8.523514932486119E-2</v>
      </c>
      <c r="D1945" t="s">
        <v>256</v>
      </c>
      <c r="E1945" t="s">
        <v>379</v>
      </c>
      <c r="F1945" t="s">
        <v>380</v>
      </c>
      <c r="G1945" t="s">
        <v>245</v>
      </c>
    </row>
    <row r="1946" spans="1:8" hidden="1" x14ac:dyDescent="0.2">
      <c r="A1946" t="s">
        <v>55</v>
      </c>
      <c r="B1946" t="s">
        <v>116</v>
      </c>
      <c r="C1946" s="4">
        <v>5.377773512264406E-3</v>
      </c>
      <c r="D1946" t="s">
        <v>256</v>
      </c>
      <c r="E1946" t="s">
        <v>379</v>
      </c>
      <c r="F1946" t="s">
        <v>380</v>
      </c>
      <c r="G1946" t="s">
        <v>245</v>
      </c>
    </row>
    <row r="1947" spans="1:8" hidden="1" x14ac:dyDescent="0.2">
      <c r="A1947" t="s">
        <v>55</v>
      </c>
      <c r="B1947" t="s">
        <v>86</v>
      </c>
      <c r="C1947" s="4">
        <v>0.61780374277799432</v>
      </c>
      <c r="D1947" t="s">
        <v>256</v>
      </c>
      <c r="E1947" t="s">
        <v>379</v>
      </c>
      <c r="F1947" t="s">
        <v>380</v>
      </c>
      <c r="G1947" t="s">
        <v>245</v>
      </c>
    </row>
    <row r="1948" spans="1:8" hidden="1" x14ac:dyDescent="0.2">
      <c r="A1948" t="s">
        <v>55</v>
      </c>
      <c r="B1948" t="s">
        <v>87</v>
      </c>
      <c r="C1948" s="4">
        <v>3.7618806140554353E-5</v>
      </c>
      <c r="D1948" t="s">
        <v>256</v>
      </c>
      <c r="E1948" t="s">
        <v>379</v>
      </c>
      <c r="F1948" t="s">
        <v>380</v>
      </c>
      <c r="G1948" t="s">
        <v>245</v>
      </c>
    </row>
    <row r="1949" spans="1:8" hidden="1" x14ac:dyDescent="0.2">
      <c r="A1949" t="s">
        <v>55</v>
      </c>
      <c r="B1949" t="s">
        <v>154</v>
      </c>
      <c r="C1949" s="4">
        <v>2.9859511236828939E-3</v>
      </c>
      <c r="D1949" t="s">
        <v>256</v>
      </c>
      <c r="E1949" t="s">
        <v>379</v>
      </c>
      <c r="F1949" t="s">
        <v>380</v>
      </c>
      <c r="G1949" t="s">
        <v>245</v>
      </c>
    </row>
    <row r="1950" spans="1:8" hidden="1" x14ac:dyDescent="0.2">
      <c r="A1950" t="s">
        <v>55</v>
      </c>
      <c r="B1950" t="s">
        <v>93</v>
      </c>
      <c r="C1950" s="4">
        <v>1.2257239060938049E-2</v>
      </c>
      <c r="D1950" t="s">
        <v>335</v>
      </c>
      <c r="E1950" t="s">
        <v>379</v>
      </c>
      <c r="F1950" t="s">
        <v>380</v>
      </c>
      <c r="G1950" t="s">
        <v>245</v>
      </c>
    </row>
    <row r="1951" spans="1:8" hidden="1" x14ac:dyDescent="0.2">
      <c r="A1951" t="s">
        <v>55</v>
      </c>
      <c r="B1951" t="s">
        <v>196</v>
      </c>
      <c r="C1951" s="4">
        <v>1.8213366506001201E-4</v>
      </c>
      <c r="D1951" t="s">
        <v>256</v>
      </c>
      <c r="E1951" t="s">
        <v>379</v>
      </c>
      <c r="F1951" t="s">
        <v>380</v>
      </c>
      <c r="G1951" t="s">
        <v>245</v>
      </c>
    </row>
    <row r="1952" spans="1:8" hidden="1" x14ac:dyDescent="0.2">
      <c r="A1952" t="s">
        <v>55</v>
      </c>
      <c r="B1952" t="s">
        <v>97</v>
      </c>
      <c r="C1952" s="4">
        <v>3.7789358386229018E-3</v>
      </c>
      <c r="D1952" t="s">
        <v>256</v>
      </c>
      <c r="E1952" t="s">
        <v>379</v>
      </c>
      <c r="F1952" t="s">
        <v>380</v>
      </c>
      <c r="G1952" t="s">
        <v>245</v>
      </c>
    </row>
    <row r="1953" spans="1:7" hidden="1" x14ac:dyDescent="0.2">
      <c r="A1953" t="s">
        <v>55</v>
      </c>
      <c r="B1953" t="s">
        <v>99</v>
      </c>
      <c r="C1953" s="4">
        <v>6.6115051792024256E-3</v>
      </c>
      <c r="D1953" t="s">
        <v>256</v>
      </c>
      <c r="E1953" t="s">
        <v>379</v>
      </c>
      <c r="F1953" t="s">
        <v>380</v>
      </c>
      <c r="G1953" t="s">
        <v>245</v>
      </c>
    </row>
    <row r="1954" spans="1:7" hidden="1" x14ac:dyDescent="0.2">
      <c r="A1954" t="s">
        <v>55</v>
      </c>
      <c r="B1954" t="s">
        <v>222</v>
      </c>
      <c r="C1954" s="4">
        <v>3.543274120781887E-3</v>
      </c>
      <c r="D1954" t="s">
        <v>256</v>
      </c>
      <c r="E1954" t="s">
        <v>379</v>
      </c>
      <c r="F1954" t="s">
        <v>380</v>
      </c>
      <c r="G1954" t="s">
        <v>245</v>
      </c>
    </row>
    <row r="1955" spans="1:7" hidden="1" x14ac:dyDescent="0.2">
      <c r="A1955" t="s">
        <v>55</v>
      </c>
      <c r="B1955" t="s">
        <v>149</v>
      </c>
      <c r="C1955" s="4">
        <v>5.3296808519975843E-3</v>
      </c>
      <c r="D1955" t="s">
        <v>256</v>
      </c>
      <c r="E1955" t="s">
        <v>379</v>
      </c>
      <c r="F1955" t="s">
        <v>380</v>
      </c>
      <c r="G1955" t="s">
        <v>245</v>
      </c>
    </row>
    <row r="1956" spans="1:7" hidden="1" x14ac:dyDescent="0.2">
      <c r="A1956" t="s">
        <v>55</v>
      </c>
      <c r="B1956" t="s">
        <v>150</v>
      </c>
      <c r="C1956" s="4">
        <v>1.2983481765324069E-3</v>
      </c>
      <c r="D1956" t="s">
        <v>256</v>
      </c>
      <c r="E1956" t="s">
        <v>379</v>
      </c>
      <c r="F1956" t="s">
        <v>380</v>
      </c>
      <c r="G1956" t="s">
        <v>245</v>
      </c>
    </row>
    <row r="1957" spans="1:7" hidden="1" x14ac:dyDescent="0.2">
      <c r="A1957" t="s">
        <v>55</v>
      </c>
      <c r="B1957" t="s">
        <v>130</v>
      </c>
      <c r="C1957" s="4">
        <v>9.0177003077065981E-3</v>
      </c>
      <c r="D1957" t="s">
        <v>335</v>
      </c>
      <c r="E1957" t="s">
        <v>379</v>
      </c>
      <c r="F1957" t="s">
        <v>380</v>
      </c>
      <c r="G1957" t="s">
        <v>245</v>
      </c>
    </row>
    <row r="1958" spans="1:7" hidden="1" x14ac:dyDescent="0.2">
      <c r="A1958" t="s">
        <v>55</v>
      </c>
      <c r="B1958" t="s">
        <v>106</v>
      </c>
      <c r="C1958" s="4">
        <v>7.5245935025830058E-4</v>
      </c>
      <c r="D1958" t="s">
        <v>256</v>
      </c>
      <c r="E1958" t="s">
        <v>379</v>
      </c>
      <c r="F1958" t="s">
        <v>380</v>
      </c>
      <c r="G1958" t="s">
        <v>245</v>
      </c>
    </row>
    <row r="1959" spans="1:7" hidden="1" x14ac:dyDescent="0.2">
      <c r="A1959" t="s">
        <v>55</v>
      </c>
      <c r="B1959" t="s">
        <v>156</v>
      </c>
      <c r="C1959" s="4">
        <v>4.8656046063344616E-6</v>
      </c>
      <c r="D1959" t="s">
        <v>256</v>
      </c>
      <c r="E1959" t="s">
        <v>379</v>
      </c>
      <c r="F1959" t="s">
        <v>380</v>
      </c>
      <c r="G1959" t="s">
        <v>245</v>
      </c>
    </row>
    <row r="1960" spans="1:7" hidden="1" x14ac:dyDescent="0.2">
      <c r="A1960" t="s">
        <v>55</v>
      </c>
      <c r="B1960" t="s">
        <v>151</v>
      </c>
      <c r="C1960" s="4">
        <v>2.7310766697581819E-3</v>
      </c>
      <c r="D1960" t="s">
        <v>335</v>
      </c>
      <c r="E1960" t="s">
        <v>379</v>
      </c>
      <c r="F1960" t="s">
        <v>380</v>
      </c>
      <c r="G1960" t="s">
        <v>245</v>
      </c>
    </row>
    <row r="1961" spans="1:7" hidden="1" x14ac:dyDescent="0.2">
      <c r="A1961" t="s">
        <v>55</v>
      </c>
      <c r="B1961" t="s">
        <v>107</v>
      </c>
      <c r="C1961" s="4">
        <v>8.3227447213615816E-2</v>
      </c>
      <c r="D1961" t="s">
        <v>335</v>
      </c>
      <c r="E1961" t="s">
        <v>379</v>
      </c>
      <c r="F1961" t="s">
        <v>380</v>
      </c>
      <c r="G1961" t="s">
        <v>245</v>
      </c>
    </row>
    <row r="1962" spans="1:7" hidden="1" x14ac:dyDescent="0.2">
      <c r="A1962" t="s">
        <v>55</v>
      </c>
      <c r="B1962" t="s">
        <v>108</v>
      </c>
      <c r="C1962" s="4">
        <v>9.3345984161394262E-3</v>
      </c>
      <c r="D1962" t="s">
        <v>256</v>
      </c>
      <c r="E1962" t="s">
        <v>379</v>
      </c>
      <c r="F1962" t="s">
        <v>380</v>
      </c>
      <c r="G1962" t="s">
        <v>245</v>
      </c>
    </row>
    <row r="1963" spans="1:7" hidden="1" x14ac:dyDescent="0.2">
      <c r="A1963" t="s">
        <v>55</v>
      </c>
      <c r="B1963" t="s">
        <v>135</v>
      </c>
      <c r="C1963" s="4">
        <v>1.8785715258377911E-2</v>
      </c>
      <c r="D1963" t="s">
        <v>335</v>
      </c>
      <c r="E1963" t="s">
        <v>379</v>
      </c>
      <c r="F1963" t="s">
        <v>380</v>
      </c>
      <c r="G1963" t="s">
        <v>245</v>
      </c>
    </row>
    <row r="1964" spans="1:7" hidden="1" x14ac:dyDescent="0.2">
      <c r="A1964" t="s">
        <v>55</v>
      </c>
      <c r="B1964" t="s">
        <v>137</v>
      </c>
      <c r="C1964" s="4">
        <v>2.4968234164084738E-4</v>
      </c>
      <c r="D1964" t="s">
        <v>256</v>
      </c>
      <c r="E1964" t="s">
        <v>379</v>
      </c>
      <c r="F1964" t="s">
        <v>380</v>
      </c>
      <c r="G1964" t="s">
        <v>245</v>
      </c>
    </row>
    <row r="1965" spans="1:7" hidden="1" x14ac:dyDescent="0.2">
      <c r="A1965" t="s">
        <v>55</v>
      </c>
      <c r="B1965" t="s">
        <v>121</v>
      </c>
      <c r="C1965" s="4">
        <v>2.2359079302383181E-2</v>
      </c>
      <c r="D1965" t="s">
        <v>335</v>
      </c>
      <c r="E1965" t="s">
        <v>379</v>
      </c>
      <c r="F1965" t="s">
        <v>380</v>
      </c>
      <c r="G1965" t="s">
        <v>245</v>
      </c>
    </row>
    <row r="1966" spans="1:7" hidden="1" x14ac:dyDescent="0.2">
      <c r="A1966" t="s">
        <v>55</v>
      </c>
      <c r="B1966" t="s">
        <v>112</v>
      </c>
      <c r="C1966" s="4">
        <v>5.5295656511259957E-2</v>
      </c>
      <c r="D1966" t="s">
        <v>256</v>
      </c>
      <c r="E1966" t="s">
        <v>379</v>
      </c>
      <c r="F1966" t="s">
        <v>380</v>
      </c>
      <c r="G1966" t="s">
        <v>245</v>
      </c>
    </row>
    <row r="1967" spans="1:7" hidden="1" x14ac:dyDescent="0.2">
      <c r="A1967" t="s">
        <v>378</v>
      </c>
      <c r="B1967" t="s">
        <v>85</v>
      </c>
      <c r="C1967" s="4">
        <v>1.866335486786953E-2</v>
      </c>
      <c r="D1967" t="s">
        <v>256</v>
      </c>
      <c r="E1967" t="s">
        <v>383</v>
      </c>
      <c r="F1967" t="s">
        <v>382</v>
      </c>
      <c r="G1967" t="s">
        <v>245</v>
      </c>
    </row>
    <row r="1968" spans="1:7" hidden="1" x14ac:dyDescent="0.2">
      <c r="A1968" t="s">
        <v>378</v>
      </c>
      <c r="B1968" t="s">
        <v>86</v>
      </c>
      <c r="C1968" s="4">
        <v>0.90835339305877372</v>
      </c>
      <c r="D1968" t="s">
        <v>254</v>
      </c>
      <c r="E1968" t="s">
        <v>381</v>
      </c>
      <c r="F1968" t="s">
        <v>382</v>
      </c>
      <c r="G1968" t="s">
        <v>245</v>
      </c>
    </row>
    <row r="1969" spans="1:8" hidden="1" x14ac:dyDescent="0.2">
      <c r="A1969" t="s">
        <v>378</v>
      </c>
      <c r="B1969" t="s">
        <v>222</v>
      </c>
      <c r="C1969" s="4">
        <v>2.072240977992253E-2</v>
      </c>
      <c r="D1969" t="s">
        <v>358</v>
      </c>
      <c r="E1969" t="s">
        <v>383</v>
      </c>
      <c r="F1969" t="s">
        <v>382</v>
      </c>
      <c r="G1969" t="s">
        <v>245</v>
      </c>
    </row>
    <row r="1970" spans="1:8" hidden="1" x14ac:dyDescent="0.2">
      <c r="A1970" t="s">
        <v>378</v>
      </c>
      <c r="B1970" t="s">
        <v>148</v>
      </c>
      <c r="C1970" s="4">
        <v>6.3090253955515492E-4</v>
      </c>
      <c r="D1970" t="s">
        <v>256</v>
      </c>
      <c r="E1970" t="s">
        <v>383</v>
      </c>
      <c r="F1970" t="s">
        <v>382</v>
      </c>
      <c r="G1970" t="s">
        <v>245</v>
      </c>
    </row>
    <row r="1971" spans="1:8" hidden="1" x14ac:dyDescent="0.2">
      <c r="A1971" t="s">
        <v>378</v>
      </c>
      <c r="B1971" t="s">
        <v>103</v>
      </c>
      <c r="C1971" s="4">
        <v>6.0858765873487611E-6</v>
      </c>
      <c r="D1971" t="s">
        <v>256</v>
      </c>
      <c r="E1971" t="s">
        <v>383</v>
      </c>
      <c r="F1971" t="s">
        <v>382</v>
      </c>
      <c r="G1971" t="s">
        <v>245</v>
      </c>
    </row>
    <row r="1972" spans="1:8" hidden="1" x14ac:dyDescent="0.2">
      <c r="A1972" t="s">
        <v>378</v>
      </c>
      <c r="B1972" t="s">
        <v>107</v>
      </c>
      <c r="C1972" s="4">
        <v>1.510859435319912E-2</v>
      </c>
      <c r="D1972" t="s">
        <v>256</v>
      </c>
      <c r="E1972" t="s">
        <v>383</v>
      </c>
      <c r="F1972" t="s">
        <v>382</v>
      </c>
      <c r="G1972" t="s">
        <v>245</v>
      </c>
    </row>
    <row r="1973" spans="1:8" hidden="1" x14ac:dyDescent="0.2">
      <c r="A1973" t="s">
        <v>378</v>
      </c>
      <c r="B1973" t="s">
        <v>112</v>
      </c>
      <c r="C1973" s="4">
        <v>4.4629761640557581E-3</v>
      </c>
      <c r="D1973" t="s">
        <v>256</v>
      </c>
      <c r="E1973" t="s">
        <v>383</v>
      </c>
      <c r="F1973" t="s">
        <v>382</v>
      </c>
      <c r="G1973" t="s">
        <v>245</v>
      </c>
    </row>
    <row r="1974" spans="1:8" hidden="1" x14ac:dyDescent="0.2">
      <c r="A1974" t="s">
        <v>378</v>
      </c>
      <c r="B1974" t="s">
        <v>113</v>
      </c>
      <c r="C1974" s="4">
        <v>3.2052283360036807E-2</v>
      </c>
      <c r="D1974" t="s">
        <v>256</v>
      </c>
      <c r="E1974" t="s">
        <v>383</v>
      </c>
      <c r="F1974" t="s">
        <v>382</v>
      </c>
      <c r="G1974" t="s">
        <v>245</v>
      </c>
    </row>
    <row r="1975" spans="1:8" hidden="1" x14ac:dyDescent="0.2">
      <c r="A1975" t="s">
        <v>57</v>
      </c>
      <c r="B1975" t="s">
        <v>83</v>
      </c>
      <c r="C1975" s="4">
        <v>0.11966302713727529</v>
      </c>
      <c r="D1975" t="s">
        <v>242</v>
      </c>
      <c r="E1975" t="s">
        <v>392</v>
      </c>
      <c r="F1975" t="s">
        <v>393</v>
      </c>
      <c r="G1975" t="s">
        <v>391</v>
      </c>
      <c r="H1975" t="s">
        <v>390</v>
      </c>
    </row>
    <row r="1976" spans="1:8" hidden="1" x14ac:dyDescent="0.2">
      <c r="A1976" t="s">
        <v>57</v>
      </c>
      <c r="B1976" t="s">
        <v>144</v>
      </c>
      <c r="C1976" s="4">
        <v>5.0946559961454778E-5</v>
      </c>
      <c r="D1976" t="s">
        <v>242</v>
      </c>
      <c r="E1976" t="s">
        <v>392</v>
      </c>
      <c r="F1976" t="s">
        <v>393</v>
      </c>
      <c r="G1976" t="s">
        <v>245</v>
      </c>
    </row>
    <row r="1977" spans="1:8" hidden="1" x14ac:dyDescent="0.2">
      <c r="A1977" t="s">
        <v>57</v>
      </c>
      <c r="B1977" t="s">
        <v>85</v>
      </c>
      <c r="C1977" s="4">
        <v>5.2589480228827611E-2</v>
      </c>
      <c r="D1977" t="s">
        <v>242</v>
      </c>
      <c r="E1977" t="s">
        <v>392</v>
      </c>
      <c r="F1977" t="s">
        <v>393</v>
      </c>
      <c r="G1977" t="s">
        <v>245</v>
      </c>
    </row>
    <row r="1978" spans="1:8" hidden="1" x14ac:dyDescent="0.2">
      <c r="A1978" t="s">
        <v>57</v>
      </c>
      <c r="B1978" t="s">
        <v>147</v>
      </c>
      <c r="C1978" s="4">
        <v>7.3304402822237102E-6</v>
      </c>
      <c r="D1978" t="s">
        <v>242</v>
      </c>
      <c r="E1978" t="s">
        <v>392</v>
      </c>
      <c r="F1978" t="s">
        <v>393</v>
      </c>
      <c r="G1978" t="s">
        <v>245</v>
      </c>
    </row>
    <row r="1979" spans="1:8" hidden="1" x14ac:dyDescent="0.2">
      <c r="A1979" t="s">
        <v>57</v>
      </c>
      <c r="B1979" t="s">
        <v>86</v>
      </c>
      <c r="C1979" s="4">
        <v>0.1435300207259402</v>
      </c>
      <c r="D1979" t="s">
        <v>242</v>
      </c>
      <c r="E1979" t="s">
        <v>392</v>
      </c>
      <c r="F1979" t="s">
        <v>393</v>
      </c>
      <c r="G1979" t="s">
        <v>245</v>
      </c>
    </row>
    <row r="1980" spans="1:8" hidden="1" x14ac:dyDescent="0.2">
      <c r="A1980" t="s">
        <v>57</v>
      </c>
      <c r="B1980" t="s">
        <v>87</v>
      </c>
      <c r="C1980" s="4">
        <v>4.8894036682432148E-6</v>
      </c>
      <c r="D1980" t="s">
        <v>242</v>
      </c>
      <c r="E1980" t="s">
        <v>392</v>
      </c>
      <c r="F1980" t="s">
        <v>393</v>
      </c>
      <c r="G1980" t="s">
        <v>245</v>
      </c>
    </row>
    <row r="1981" spans="1:8" hidden="1" x14ac:dyDescent="0.2">
      <c r="A1981" t="s">
        <v>57</v>
      </c>
      <c r="B1981" t="s">
        <v>159</v>
      </c>
      <c r="C1981" s="4">
        <v>1.092931993878144E-4</v>
      </c>
      <c r="D1981" t="s">
        <v>242</v>
      </c>
      <c r="E1981" t="s">
        <v>392</v>
      </c>
      <c r="F1981" t="s">
        <v>393</v>
      </c>
      <c r="G1981" t="s">
        <v>245</v>
      </c>
    </row>
    <row r="1982" spans="1:8" hidden="1" x14ac:dyDescent="0.2">
      <c r="A1982" t="s">
        <v>57</v>
      </c>
      <c r="B1982" t="s">
        <v>128</v>
      </c>
      <c r="C1982" s="4">
        <v>2.033442142968011E-3</v>
      </c>
      <c r="D1982" t="s">
        <v>242</v>
      </c>
      <c r="E1982" t="s">
        <v>392</v>
      </c>
      <c r="F1982" t="s">
        <v>393</v>
      </c>
      <c r="G1982" t="s">
        <v>245</v>
      </c>
    </row>
    <row r="1983" spans="1:8" hidden="1" x14ac:dyDescent="0.2">
      <c r="A1983" t="s">
        <v>57</v>
      </c>
      <c r="B1983" t="s">
        <v>195</v>
      </c>
      <c r="C1983" s="4">
        <v>0.1326626430075436</v>
      </c>
      <c r="D1983" t="s">
        <v>242</v>
      </c>
      <c r="E1983" t="s">
        <v>392</v>
      </c>
      <c r="F1983" t="s">
        <v>393</v>
      </c>
      <c r="G1983" t="s">
        <v>245</v>
      </c>
    </row>
    <row r="1984" spans="1:8" hidden="1" x14ac:dyDescent="0.2">
      <c r="A1984" t="s">
        <v>57</v>
      </c>
      <c r="B1984" t="s">
        <v>169</v>
      </c>
      <c r="C1984" s="4">
        <v>6.0824914676973806E-3</v>
      </c>
      <c r="D1984" t="s">
        <v>242</v>
      </c>
      <c r="E1984" t="s">
        <v>392</v>
      </c>
      <c r="F1984" t="s">
        <v>393</v>
      </c>
      <c r="G1984" t="s">
        <v>245</v>
      </c>
    </row>
    <row r="1985" spans="1:7" hidden="1" x14ac:dyDescent="0.2">
      <c r="A1985" t="s">
        <v>57</v>
      </c>
      <c r="B1985" t="s">
        <v>92</v>
      </c>
      <c r="C1985" s="4">
        <v>6.8290880139135271E-2</v>
      </c>
      <c r="D1985" t="s">
        <v>242</v>
      </c>
      <c r="E1985" t="s">
        <v>392</v>
      </c>
      <c r="F1985" t="s">
        <v>393</v>
      </c>
      <c r="G1985" t="s">
        <v>245</v>
      </c>
    </row>
    <row r="1986" spans="1:7" hidden="1" x14ac:dyDescent="0.2">
      <c r="A1986" t="s">
        <v>57</v>
      </c>
      <c r="B1986" t="s">
        <v>97</v>
      </c>
      <c r="C1986" s="4">
        <v>4.9389816350039778E-2</v>
      </c>
      <c r="D1986" t="s">
        <v>242</v>
      </c>
      <c r="E1986" t="s">
        <v>392</v>
      </c>
      <c r="F1986" t="s">
        <v>393</v>
      </c>
      <c r="G1986" t="s">
        <v>245</v>
      </c>
    </row>
    <row r="1987" spans="1:7" hidden="1" x14ac:dyDescent="0.2">
      <c r="A1987" t="s">
        <v>57</v>
      </c>
      <c r="B1987" t="s">
        <v>99</v>
      </c>
      <c r="C1987" s="4">
        <v>3.4451200064179472E-3</v>
      </c>
      <c r="D1987" t="s">
        <v>242</v>
      </c>
      <c r="E1987" t="s">
        <v>392</v>
      </c>
      <c r="F1987" t="s">
        <v>393</v>
      </c>
      <c r="G1987" t="s">
        <v>245</v>
      </c>
    </row>
    <row r="1988" spans="1:7" hidden="1" x14ac:dyDescent="0.2">
      <c r="A1988" t="s">
        <v>57</v>
      </c>
      <c r="B1988" t="s">
        <v>100</v>
      </c>
      <c r="C1988" s="4">
        <v>1.9608029776013849E-2</v>
      </c>
      <c r="D1988" t="s">
        <v>242</v>
      </c>
      <c r="E1988" t="s">
        <v>392</v>
      </c>
      <c r="F1988" t="s">
        <v>393</v>
      </c>
      <c r="G1988" t="s">
        <v>245</v>
      </c>
    </row>
    <row r="1989" spans="1:7" hidden="1" x14ac:dyDescent="0.2">
      <c r="A1989" t="s">
        <v>57</v>
      </c>
      <c r="B1989" t="s">
        <v>102</v>
      </c>
      <c r="C1989" s="4">
        <v>2.23277880556252E-2</v>
      </c>
      <c r="D1989" t="s">
        <v>242</v>
      </c>
      <c r="E1989" t="s">
        <v>392</v>
      </c>
      <c r="F1989" t="s">
        <v>393</v>
      </c>
      <c r="G1989" t="s">
        <v>245</v>
      </c>
    </row>
    <row r="1990" spans="1:7" hidden="1" x14ac:dyDescent="0.2">
      <c r="A1990" t="s">
        <v>57</v>
      </c>
      <c r="B1990" t="s">
        <v>103</v>
      </c>
      <c r="C1990" s="4">
        <v>1.8905212818295231E-2</v>
      </c>
      <c r="D1990" t="s">
        <v>242</v>
      </c>
      <c r="E1990" t="s">
        <v>392</v>
      </c>
      <c r="F1990" t="s">
        <v>393</v>
      </c>
      <c r="G1990" t="s">
        <v>245</v>
      </c>
    </row>
    <row r="1991" spans="1:7" hidden="1" x14ac:dyDescent="0.2">
      <c r="A1991" t="s">
        <v>57</v>
      </c>
      <c r="B1991" t="s">
        <v>150</v>
      </c>
      <c r="C1991" s="4">
        <v>1.018285020918218E-2</v>
      </c>
      <c r="D1991" t="s">
        <v>242</v>
      </c>
      <c r="E1991" t="s">
        <v>392</v>
      </c>
      <c r="F1991" t="s">
        <v>393</v>
      </c>
      <c r="G1991" t="s">
        <v>245</v>
      </c>
    </row>
    <row r="1992" spans="1:7" hidden="1" x14ac:dyDescent="0.2">
      <c r="A1992" t="s">
        <v>57</v>
      </c>
      <c r="B1992" t="s">
        <v>161</v>
      </c>
      <c r="C1992" s="4">
        <v>1.5314865794226009E-3</v>
      </c>
      <c r="D1992" t="s">
        <v>242</v>
      </c>
      <c r="E1992" t="s">
        <v>392</v>
      </c>
      <c r="F1992" t="s">
        <v>393</v>
      </c>
      <c r="G1992" t="s">
        <v>245</v>
      </c>
    </row>
    <row r="1993" spans="1:7" hidden="1" x14ac:dyDescent="0.2">
      <c r="A1993" t="s">
        <v>57</v>
      </c>
      <c r="B1993" t="s">
        <v>174</v>
      </c>
      <c r="C1993" s="4">
        <v>1.098099954277112E-2</v>
      </c>
      <c r="D1993" t="s">
        <v>242</v>
      </c>
      <c r="E1993" t="s">
        <v>392</v>
      </c>
      <c r="F1993" t="s">
        <v>393</v>
      </c>
      <c r="G1993" t="s">
        <v>245</v>
      </c>
    </row>
    <row r="1994" spans="1:7" hidden="1" x14ac:dyDescent="0.2">
      <c r="A1994" t="s">
        <v>57</v>
      </c>
      <c r="B1994" t="s">
        <v>175</v>
      </c>
      <c r="C1994" s="4">
        <v>5.7975352626064988E-4</v>
      </c>
      <c r="D1994" t="s">
        <v>242</v>
      </c>
      <c r="E1994" t="s">
        <v>392</v>
      </c>
      <c r="F1994" t="s">
        <v>393</v>
      </c>
      <c r="G1994" t="s">
        <v>245</v>
      </c>
    </row>
    <row r="1995" spans="1:7" hidden="1" x14ac:dyDescent="0.2">
      <c r="A1995" t="s">
        <v>57</v>
      </c>
      <c r="B1995" t="s">
        <v>133</v>
      </c>
      <c r="C1995" s="4">
        <v>5.7983782632389552E-4</v>
      </c>
      <c r="D1995" t="s">
        <v>242</v>
      </c>
      <c r="E1995" t="s">
        <v>392</v>
      </c>
      <c r="F1995" t="s">
        <v>393</v>
      </c>
      <c r="G1995" t="s">
        <v>245</v>
      </c>
    </row>
    <row r="1996" spans="1:7" hidden="1" x14ac:dyDescent="0.2">
      <c r="A1996" t="s">
        <v>57</v>
      </c>
      <c r="B1996" t="s">
        <v>146</v>
      </c>
      <c r="C1996" s="4">
        <v>4.8879375801867697E-4</v>
      </c>
      <c r="D1996" t="s">
        <v>242</v>
      </c>
      <c r="E1996" t="s">
        <v>392</v>
      </c>
      <c r="F1996" t="s">
        <v>393</v>
      </c>
      <c r="G1996" t="s">
        <v>245</v>
      </c>
    </row>
    <row r="1997" spans="1:7" hidden="1" x14ac:dyDescent="0.2">
      <c r="A1997" t="s">
        <v>57</v>
      </c>
      <c r="B1997" t="s">
        <v>120</v>
      </c>
      <c r="C1997" s="4">
        <v>5.0213515933232415E-4</v>
      </c>
      <c r="D1997" t="s">
        <v>242</v>
      </c>
      <c r="E1997" t="s">
        <v>392</v>
      </c>
      <c r="F1997" t="s">
        <v>393</v>
      </c>
      <c r="G1997" t="s">
        <v>245</v>
      </c>
    </row>
    <row r="1998" spans="1:7" hidden="1" x14ac:dyDescent="0.2">
      <c r="A1998" t="s">
        <v>57</v>
      </c>
      <c r="B1998" t="s">
        <v>137</v>
      </c>
      <c r="C1998" s="4">
        <v>0.29844764952144609</v>
      </c>
      <c r="D1998" t="s">
        <v>242</v>
      </c>
      <c r="E1998" t="s">
        <v>392</v>
      </c>
      <c r="F1998" t="s">
        <v>393</v>
      </c>
      <c r="G1998" t="s">
        <v>245</v>
      </c>
    </row>
    <row r="1999" spans="1:7" hidden="1" x14ac:dyDescent="0.2">
      <c r="A1999" t="s">
        <v>57</v>
      </c>
      <c r="B1999" t="s">
        <v>157</v>
      </c>
      <c r="C1999" s="4">
        <v>3.2986981270006703E-5</v>
      </c>
      <c r="D1999" t="s">
        <v>242</v>
      </c>
      <c r="E1999" t="s">
        <v>392</v>
      </c>
      <c r="F1999" t="s">
        <v>393</v>
      </c>
      <c r="G1999" t="s">
        <v>245</v>
      </c>
    </row>
    <row r="2000" spans="1:7" hidden="1" x14ac:dyDescent="0.2">
      <c r="A2000" t="s">
        <v>57</v>
      </c>
      <c r="B2000" t="s">
        <v>215</v>
      </c>
      <c r="C2000" s="4">
        <v>6.6780310971057994E-5</v>
      </c>
      <c r="D2000" t="s">
        <v>242</v>
      </c>
      <c r="E2000" t="s">
        <v>392</v>
      </c>
      <c r="F2000" t="s">
        <v>393</v>
      </c>
      <c r="G2000" t="s">
        <v>245</v>
      </c>
    </row>
    <row r="2001" spans="1:8" hidden="1" x14ac:dyDescent="0.2">
      <c r="A2001" t="s">
        <v>57</v>
      </c>
      <c r="B2001" t="s">
        <v>112</v>
      </c>
      <c r="C2001" s="4">
        <v>1.706841706633815E-3</v>
      </c>
      <c r="D2001" t="s">
        <v>242</v>
      </c>
      <c r="E2001" t="s">
        <v>392</v>
      </c>
      <c r="F2001" t="s">
        <v>393</v>
      </c>
      <c r="G2001" t="s">
        <v>245</v>
      </c>
    </row>
    <row r="2002" spans="1:8" hidden="1" x14ac:dyDescent="0.2">
      <c r="A2002" t="s">
        <v>57</v>
      </c>
      <c r="B2002" t="s">
        <v>122</v>
      </c>
      <c r="C2002" s="4">
        <v>3.3564502677201409E-2</v>
      </c>
      <c r="D2002" t="s">
        <v>242</v>
      </c>
      <c r="E2002" t="s">
        <v>392</v>
      </c>
      <c r="F2002" t="s">
        <v>393</v>
      </c>
      <c r="G2002" t="s">
        <v>245</v>
      </c>
    </row>
    <row r="2003" spans="1:8" hidden="1" x14ac:dyDescent="0.2">
      <c r="A2003" t="s">
        <v>57</v>
      </c>
      <c r="B2003" t="s">
        <v>115</v>
      </c>
      <c r="C2003" s="4">
        <v>1.29858749599593E-3</v>
      </c>
      <c r="D2003" t="s">
        <v>242</v>
      </c>
      <c r="E2003" t="s">
        <v>392</v>
      </c>
      <c r="F2003" t="s">
        <v>393</v>
      </c>
      <c r="G2003" t="s">
        <v>245</v>
      </c>
    </row>
    <row r="2004" spans="1:8" hidden="1" x14ac:dyDescent="0.2">
      <c r="A2004" t="s">
        <v>57</v>
      </c>
      <c r="B2004" t="s">
        <v>143</v>
      </c>
      <c r="C2004" s="4">
        <v>1.3363832460910759E-3</v>
      </c>
      <c r="D2004" t="s">
        <v>242</v>
      </c>
      <c r="E2004" t="s">
        <v>392</v>
      </c>
      <c r="F2004" t="s">
        <v>393</v>
      </c>
      <c r="G2004" t="s">
        <v>245</v>
      </c>
    </row>
    <row r="2005" spans="1:8" hidden="1" x14ac:dyDescent="0.2">
      <c r="A2005" t="s">
        <v>58</v>
      </c>
      <c r="B2005" t="s">
        <v>124</v>
      </c>
      <c r="C2005" s="4">
        <f xml:space="preserve"> 0.821186132769772 * 0.137682888770584%</f>
        <v>1.1306327897808654E-3</v>
      </c>
      <c r="D2005" t="s">
        <v>256</v>
      </c>
      <c r="E2005" t="s">
        <v>307</v>
      </c>
      <c r="F2005" t="s">
        <v>357</v>
      </c>
      <c r="G2005" s="4" t="s">
        <v>245</v>
      </c>
      <c r="H2005" t="s">
        <v>356</v>
      </c>
    </row>
    <row r="2006" spans="1:8" hidden="1" x14ac:dyDescent="0.2">
      <c r="A2006" t="s">
        <v>58</v>
      </c>
      <c r="B2006" t="s">
        <v>124</v>
      </c>
      <c r="C2006" s="4">
        <f xml:space="preserve"> 0.178813867230228 * 0.137682888770584%</f>
        <v>2.4619609792497457E-4</v>
      </c>
      <c r="D2006" t="s">
        <v>242</v>
      </c>
      <c r="E2006" t="s">
        <v>317</v>
      </c>
      <c r="F2006" t="s">
        <v>357</v>
      </c>
      <c r="G2006" s="4" t="s">
        <v>245</v>
      </c>
    </row>
    <row r="2007" spans="1:8" hidden="1" x14ac:dyDescent="0.2">
      <c r="A2007" t="s">
        <v>58</v>
      </c>
      <c r="B2007" t="s">
        <v>164</v>
      </c>
      <c r="C2007" s="4">
        <f xml:space="preserve"> 0.821186132769772 * 2.9177213855862%</f>
        <v>2.3959923411291925E-2</v>
      </c>
      <c r="D2007" t="s">
        <v>256</v>
      </c>
      <c r="E2007" t="s">
        <v>307</v>
      </c>
      <c r="F2007" t="s">
        <v>357</v>
      </c>
      <c r="G2007" s="4" t="s">
        <v>245</v>
      </c>
    </row>
    <row r="2008" spans="1:8" hidden="1" x14ac:dyDescent="0.2">
      <c r="A2008" t="s">
        <v>58</v>
      </c>
      <c r="B2008" t="s">
        <v>164</v>
      </c>
      <c r="C2008" s="4">
        <f xml:space="preserve"> 0.178813867230228 * 2.9177213855862%</f>
        <v>5.2172904445700764E-3</v>
      </c>
      <c r="D2008" t="s">
        <v>242</v>
      </c>
      <c r="E2008" t="s">
        <v>317</v>
      </c>
      <c r="F2008" t="s">
        <v>357</v>
      </c>
      <c r="G2008" s="4" t="s">
        <v>245</v>
      </c>
    </row>
    <row r="2009" spans="1:8" hidden="1" x14ac:dyDescent="0.2">
      <c r="A2009" t="s">
        <v>58</v>
      </c>
      <c r="B2009" t="s">
        <v>85</v>
      </c>
      <c r="C2009" s="4">
        <f xml:space="preserve"> 0.821186132769772 * 0.0679915500101647%</f>
        <v>5.5833718013869704E-4</v>
      </c>
      <c r="D2009" t="s">
        <v>256</v>
      </c>
      <c r="E2009" t="s">
        <v>307</v>
      </c>
      <c r="F2009" t="s">
        <v>357</v>
      </c>
      <c r="G2009" s="4" t="s">
        <v>245</v>
      </c>
    </row>
    <row r="2010" spans="1:8" hidden="1" x14ac:dyDescent="0.2">
      <c r="A2010" t="s">
        <v>58</v>
      </c>
      <c r="B2010" t="s">
        <v>85</v>
      </c>
      <c r="C2010" s="4">
        <f xml:space="preserve"> 0.178813867230228 * 0.0679915500101647%</f>
        <v>1.2157831996294997E-4</v>
      </c>
      <c r="D2010" t="s">
        <v>242</v>
      </c>
      <c r="E2010" t="s">
        <v>317</v>
      </c>
      <c r="F2010" t="s">
        <v>357</v>
      </c>
      <c r="G2010" s="4" t="s">
        <v>245</v>
      </c>
    </row>
    <row r="2011" spans="1:8" hidden="1" x14ac:dyDescent="0.2">
      <c r="A2011" t="s">
        <v>58</v>
      </c>
      <c r="B2011" t="s">
        <v>116</v>
      </c>
      <c r="C2011" s="4">
        <f xml:space="preserve"> 0.821186132769772 * 1.26641061048933%</f>
        <v>1.039958831726339E-2</v>
      </c>
      <c r="D2011" t="s">
        <v>271</v>
      </c>
      <c r="E2011" t="s">
        <v>307</v>
      </c>
      <c r="F2011" t="s">
        <v>357</v>
      </c>
      <c r="G2011" s="4" t="s">
        <v>245</v>
      </c>
    </row>
    <row r="2012" spans="1:8" hidden="1" x14ac:dyDescent="0.2">
      <c r="A2012" t="s">
        <v>58</v>
      </c>
      <c r="B2012" t="s">
        <v>116</v>
      </c>
      <c r="C2012" s="4">
        <f xml:space="preserve"> 0.178813867230228 * 1.26641061048933%</f>
        <v>2.2645177876299103E-3</v>
      </c>
      <c r="D2012" t="s">
        <v>242</v>
      </c>
      <c r="E2012" t="s">
        <v>317</v>
      </c>
      <c r="F2012" t="s">
        <v>357</v>
      </c>
      <c r="G2012" s="4" t="s">
        <v>245</v>
      </c>
    </row>
    <row r="2013" spans="1:8" hidden="1" x14ac:dyDescent="0.2">
      <c r="A2013" t="s">
        <v>58</v>
      </c>
      <c r="B2013" t="s">
        <v>145</v>
      </c>
      <c r="C2013" s="4">
        <f xml:space="preserve"> 0.821186132769772 * 19.3752120486466%</f>
        <v>0.15910655453822392</v>
      </c>
      <c r="D2013" t="s">
        <v>312</v>
      </c>
      <c r="E2013" t="s">
        <v>307</v>
      </c>
      <c r="F2013" t="s">
        <v>357</v>
      </c>
      <c r="G2013" s="4" t="s">
        <v>245</v>
      </c>
    </row>
    <row r="2014" spans="1:8" hidden="1" x14ac:dyDescent="0.2">
      <c r="A2014" t="s">
        <v>58</v>
      </c>
      <c r="B2014" t="s">
        <v>145</v>
      </c>
      <c r="C2014" s="4">
        <f xml:space="preserve"> 0.178813867230228 * 19.3752120486466%</f>
        <v>3.4645565948242064E-2</v>
      </c>
      <c r="D2014" t="s">
        <v>242</v>
      </c>
      <c r="E2014" t="s">
        <v>317</v>
      </c>
      <c r="F2014" t="s">
        <v>357</v>
      </c>
      <c r="G2014" s="4" t="s">
        <v>245</v>
      </c>
    </row>
    <row r="2015" spans="1:8" hidden="1" x14ac:dyDescent="0.2">
      <c r="A2015" t="s">
        <v>58</v>
      </c>
      <c r="B2015" t="s">
        <v>86</v>
      </c>
      <c r="C2015" s="4">
        <f xml:space="preserve"> 0.821186132769772 * 39.7646540487948%</f>
        <v>0.3265418247925766</v>
      </c>
      <c r="D2015" t="s">
        <v>254</v>
      </c>
      <c r="E2015" t="s">
        <v>307</v>
      </c>
      <c r="F2015" t="s">
        <v>357</v>
      </c>
      <c r="G2015" s="4" t="s">
        <v>245</v>
      </c>
    </row>
    <row r="2016" spans="1:8" hidden="1" x14ac:dyDescent="0.2">
      <c r="A2016" t="s">
        <v>58</v>
      </c>
      <c r="B2016" t="s">
        <v>86</v>
      </c>
      <c r="C2016" s="4">
        <f xml:space="preserve"> 0.178813867230228 * 39.7646540487948%</f>
        <v>7.1104715695371412E-2</v>
      </c>
      <c r="D2016" t="s">
        <v>242</v>
      </c>
      <c r="E2016" t="s">
        <v>317</v>
      </c>
      <c r="F2016" t="s">
        <v>357</v>
      </c>
      <c r="G2016" s="4" t="s">
        <v>245</v>
      </c>
    </row>
    <row r="2017" spans="1:7" hidden="1" x14ac:dyDescent="0.2">
      <c r="A2017" t="s">
        <v>58</v>
      </c>
      <c r="B2017" t="s">
        <v>99</v>
      </c>
      <c r="C2017" s="4">
        <f xml:space="preserve"> 0.821186132769772 * 2.56341741848323%</f>
        <v>2.1050428365589163E-2</v>
      </c>
      <c r="D2017" t="s">
        <v>256</v>
      </c>
      <c r="E2017" t="s">
        <v>307</v>
      </c>
      <c r="F2017" t="s">
        <v>357</v>
      </c>
      <c r="G2017" s="4" t="s">
        <v>245</v>
      </c>
    </row>
    <row r="2018" spans="1:7" hidden="1" x14ac:dyDescent="0.2">
      <c r="A2018" t="s">
        <v>58</v>
      </c>
      <c r="B2018" t="s">
        <v>99</v>
      </c>
      <c r="C2018" s="4">
        <f xml:space="preserve"> 0.178813867230228 * 2.56341741848323%</f>
        <v>4.5837458192431414E-3</v>
      </c>
      <c r="D2018" t="s">
        <v>242</v>
      </c>
      <c r="E2018" t="s">
        <v>317</v>
      </c>
      <c r="F2018" t="s">
        <v>357</v>
      </c>
      <c r="G2018" s="4" t="s">
        <v>245</v>
      </c>
    </row>
    <row r="2019" spans="1:7" hidden="1" x14ac:dyDescent="0.2">
      <c r="A2019" t="s">
        <v>58</v>
      </c>
      <c r="B2019" t="s">
        <v>102</v>
      </c>
      <c r="C2019" s="4">
        <f xml:space="preserve"> 0.821186132769772 * 0.0817938346622282%</f>
        <v>6.7167962770685308E-4</v>
      </c>
      <c r="D2019" t="s">
        <v>256</v>
      </c>
      <c r="E2019" t="s">
        <v>307</v>
      </c>
      <c r="F2019" t="s">
        <v>357</v>
      </c>
      <c r="G2019" s="4" t="s">
        <v>245</v>
      </c>
    </row>
    <row r="2020" spans="1:7" hidden="1" x14ac:dyDescent="0.2">
      <c r="A2020" t="s">
        <v>58</v>
      </c>
      <c r="B2020" t="s">
        <v>102</v>
      </c>
      <c r="C2020" s="4">
        <f xml:space="preserve"> 0.178813867230228 * 0.0817938346622282%</f>
        <v>1.4625871891542895E-4</v>
      </c>
      <c r="D2020" t="s">
        <v>242</v>
      </c>
      <c r="E2020" t="s">
        <v>317</v>
      </c>
      <c r="F2020" t="s">
        <v>357</v>
      </c>
      <c r="G2020" s="4" t="s">
        <v>245</v>
      </c>
    </row>
    <row r="2021" spans="1:7" hidden="1" x14ac:dyDescent="0.2">
      <c r="A2021" t="s">
        <v>58</v>
      </c>
      <c r="B2021" t="s">
        <v>170</v>
      </c>
      <c r="C2021" s="4">
        <f xml:space="preserve"> 0.821186132769772 * 0.00673116345100631%</f>
        <v>5.5275380833731042E-5</v>
      </c>
      <c r="D2021" t="s">
        <v>256</v>
      </c>
      <c r="E2021" t="s">
        <v>307</v>
      </c>
      <c r="F2021" t="s">
        <v>357</v>
      </c>
      <c r="G2021" s="4" t="s">
        <v>245</v>
      </c>
    </row>
    <row r="2022" spans="1:7" hidden="1" x14ac:dyDescent="0.2">
      <c r="A2022" t="s">
        <v>58</v>
      </c>
      <c r="B2022" t="s">
        <v>170</v>
      </c>
      <c r="C2022" s="4">
        <f xml:space="preserve"> 0.178813867230228 * 0.00673116345100631%</f>
        <v>1.2036253676332054E-5</v>
      </c>
      <c r="D2022" t="s">
        <v>242</v>
      </c>
      <c r="E2022" t="s">
        <v>317</v>
      </c>
      <c r="F2022" t="s">
        <v>357</v>
      </c>
      <c r="G2022" s="4" t="s">
        <v>245</v>
      </c>
    </row>
    <row r="2023" spans="1:7" hidden="1" x14ac:dyDescent="0.2">
      <c r="A2023" t="s">
        <v>58</v>
      </c>
      <c r="B2023" t="s">
        <v>150</v>
      </c>
      <c r="C2023" s="4">
        <f xml:space="preserve"> 0.821186132769772 * 6.31233550294369%</f>
        <v>5.1836023804076634E-2</v>
      </c>
      <c r="D2023" t="s">
        <v>256</v>
      </c>
      <c r="E2023" t="s">
        <v>307</v>
      </c>
      <c r="F2023" t="s">
        <v>357</v>
      </c>
      <c r="G2023" s="4" t="s">
        <v>245</v>
      </c>
    </row>
    <row r="2024" spans="1:7" hidden="1" x14ac:dyDescent="0.2">
      <c r="A2024" t="s">
        <v>58</v>
      </c>
      <c r="B2024" t="s">
        <v>150</v>
      </c>
      <c r="C2024" s="4">
        <f xml:space="preserve"> 0.178813867230228 * 6.31233550294369%</f>
        <v>1.1287331225360275E-2</v>
      </c>
      <c r="D2024" t="s">
        <v>242</v>
      </c>
      <c r="E2024" t="s">
        <v>317</v>
      </c>
      <c r="F2024" t="s">
        <v>357</v>
      </c>
      <c r="G2024" s="4" t="s">
        <v>245</v>
      </c>
    </row>
    <row r="2025" spans="1:7" hidden="1" x14ac:dyDescent="0.2">
      <c r="A2025" t="s">
        <v>58</v>
      </c>
      <c r="B2025" t="s">
        <v>173</v>
      </c>
      <c r="C2025" s="4">
        <f xml:space="preserve"> 0.821186132769772 * 0.927404742138647%</f>
        <v>7.6157191370918318E-3</v>
      </c>
      <c r="D2025" t="s">
        <v>256</v>
      </c>
      <c r="E2025" t="s">
        <v>307</v>
      </c>
      <c r="F2025" t="s">
        <v>357</v>
      </c>
      <c r="G2025" s="4" t="s">
        <v>245</v>
      </c>
    </row>
    <row r="2026" spans="1:7" hidden="1" x14ac:dyDescent="0.2">
      <c r="A2026" t="s">
        <v>58</v>
      </c>
      <c r="B2026" t="s">
        <v>173</v>
      </c>
      <c r="C2026" s="4">
        <f xml:space="preserve"> 0.178813867230228 * 0.927404742138647%</f>
        <v>1.6583282842946385E-3</v>
      </c>
      <c r="D2026" t="s">
        <v>242</v>
      </c>
      <c r="E2026" t="s">
        <v>317</v>
      </c>
      <c r="F2026" t="s">
        <v>357</v>
      </c>
      <c r="G2026" s="4" t="s">
        <v>245</v>
      </c>
    </row>
    <row r="2027" spans="1:7" hidden="1" x14ac:dyDescent="0.2">
      <c r="A2027" t="s">
        <v>58</v>
      </c>
      <c r="B2027" t="s">
        <v>132</v>
      </c>
      <c r="C2027" s="4">
        <f xml:space="preserve"> 0.821186132769772 * 0.000679915500101647%</f>
        <v>5.5833718013869698E-6</v>
      </c>
      <c r="D2027" t="s">
        <v>256</v>
      </c>
      <c r="E2027" t="s">
        <v>307</v>
      </c>
      <c r="F2027" t="s">
        <v>357</v>
      </c>
      <c r="G2027" s="4" t="s">
        <v>245</v>
      </c>
    </row>
    <row r="2028" spans="1:7" hidden="1" x14ac:dyDescent="0.2">
      <c r="A2028" t="s">
        <v>58</v>
      </c>
      <c r="B2028" t="s">
        <v>132</v>
      </c>
      <c r="C2028" s="4">
        <f xml:space="preserve"> 0.178813867230228 * 0.000679915500101647%</f>
        <v>1.2157831996294996E-6</v>
      </c>
      <c r="D2028" t="s">
        <v>242</v>
      </c>
      <c r="E2028" t="s">
        <v>317</v>
      </c>
      <c r="F2028" t="s">
        <v>357</v>
      </c>
      <c r="G2028" s="4" t="s">
        <v>245</v>
      </c>
    </row>
    <row r="2029" spans="1:7" hidden="1" x14ac:dyDescent="0.2">
      <c r="A2029" t="s">
        <v>58</v>
      </c>
      <c r="B2029" t="s">
        <v>146</v>
      </c>
      <c r="C2029" s="4">
        <f xml:space="preserve"> 0.821186132769772 * 10.3992395825047%</f>
        <v>8.5397113365033736E-2</v>
      </c>
      <c r="D2029" t="s">
        <v>256</v>
      </c>
      <c r="E2029" t="s">
        <v>307</v>
      </c>
      <c r="F2029" t="s">
        <v>357</v>
      </c>
      <c r="G2029" s="4" t="s">
        <v>245</v>
      </c>
    </row>
    <row r="2030" spans="1:7" hidden="1" x14ac:dyDescent="0.2">
      <c r="A2030" t="s">
        <v>58</v>
      </c>
      <c r="B2030" t="s">
        <v>146</v>
      </c>
      <c r="C2030" s="4">
        <f xml:space="preserve"> 0.178813867230228 * 10.3992395825047%</f>
        <v>1.8595282460013272E-2</v>
      </c>
      <c r="D2030" t="s">
        <v>242</v>
      </c>
      <c r="E2030" t="s">
        <v>317</v>
      </c>
      <c r="F2030" t="s">
        <v>357</v>
      </c>
      <c r="G2030" s="4" t="s">
        <v>245</v>
      </c>
    </row>
    <row r="2031" spans="1:7" hidden="1" x14ac:dyDescent="0.2">
      <c r="A2031" t="s">
        <v>58</v>
      </c>
      <c r="B2031" t="s">
        <v>151</v>
      </c>
      <c r="C2031" s="4">
        <f xml:space="preserve"> 0.821186132769772 * 0.413388624061802%</f>
        <v>3.3946900552432832E-3</v>
      </c>
      <c r="D2031" t="s">
        <v>256</v>
      </c>
      <c r="E2031" t="s">
        <v>307</v>
      </c>
      <c r="F2031" t="s">
        <v>357</v>
      </c>
      <c r="G2031" s="4" t="s">
        <v>245</v>
      </c>
    </row>
    <row r="2032" spans="1:7" hidden="1" x14ac:dyDescent="0.2">
      <c r="A2032" t="s">
        <v>58</v>
      </c>
      <c r="B2032" t="s">
        <v>151</v>
      </c>
      <c r="C2032" s="4">
        <f xml:space="preserve"> 0.178813867230228 * 0.413388624061802%</f>
        <v>7.3919618537473695E-4</v>
      </c>
      <c r="D2032" t="s">
        <v>242</v>
      </c>
      <c r="E2032" t="s">
        <v>317</v>
      </c>
      <c r="F2032" t="s">
        <v>357</v>
      </c>
      <c r="G2032" s="4" t="s">
        <v>245</v>
      </c>
    </row>
    <row r="2033" spans="1:8" hidden="1" x14ac:dyDescent="0.2">
      <c r="A2033" t="s">
        <v>58</v>
      </c>
      <c r="B2033" t="s">
        <v>107</v>
      </c>
      <c r="C2033" s="4">
        <f xml:space="preserve"> 0.821186132769772 * 0.760485486863693%</f>
        <v>6.2450013598513337E-3</v>
      </c>
      <c r="D2033" t="s">
        <v>313</v>
      </c>
      <c r="E2033" t="s">
        <v>307</v>
      </c>
      <c r="F2033" t="s">
        <v>357</v>
      </c>
      <c r="G2033" s="4" t="s">
        <v>245</v>
      </c>
    </row>
    <row r="2034" spans="1:8" hidden="1" x14ac:dyDescent="0.2">
      <c r="A2034" t="s">
        <v>58</v>
      </c>
      <c r="B2034" t="s">
        <v>107</v>
      </c>
      <c r="C2034" s="4">
        <f xml:space="preserve"> 0.178813867230228 * 0.760485486863693%</f>
        <v>1.3598535087855968E-3</v>
      </c>
      <c r="D2034" t="s">
        <v>242</v>
      </c>
      <c r="E2034" t="s">
        <v>317</v>
      </c>
      <c r="F2034" t="s">
        <v>357</v>
      </c>
      <c r="G2034" s="4" t="s">
        <v>245</v>
      </c>
    </row>
    <row r="2035" spans="1:8" hidden="1" x14ac:dyDescent="0.2">
      <c r="A2035" t="s">
        <v>58</v>
      </c>
      <c r="B2035" t="s">
        <v>113</v>
      </c>
      <c r="C2035" s="4">
        <f xml:space="preserve"> 0.821186132769772 * 14.8153587472149%</f>
        <v>0.12166167155222217</v>
      </c>
      <c r="D2035" t="s">
        <v>277</v>
      </c>
      <c r="E2035" t="s">
        <v>307</v>
      </c>
      <c r="F2035" t="s">
        <v>357</v>
      </c>
      <c r="G2035" s="4" t="s">
        <v>245</v>
      </c>
    </row>
    <row r="2036" spans="1:8" hidden="1" x14ac:dyDescent="0.2">
      <c r="A2036" t="s">
        <v>58</v>
      </c>
      <c r="B2036" t="s">
        <v>113</v>
      </c>
      <c r="C2036" s="4">
        <f xml:space="preserve"> 0.178813867230228 * 14.8153587472149%</f>
        <v>2.649191591992682E-2</v>
      </c>
      <c r="D2036" t="s">
        <v>242</v>
      </c>
      <c r="E2036" t="s">
        <v>317</v>
      </c>
      <c r="F2036" t="s">
        <v>357</v>
      </c>
      <c r="G2036" s="4" t="s">
        <v>245</v>
      </c>
    </row>
    <row r="2037" spans="1:8" hidden="1" x14ac:dyDescent="0.2">
      <c r="A2037" t="s">
        <v>58</v>
      </c>
      <c r="B2037" t="s">
        <v>180</v>
      </c>
      <c r="C2037" s="4">
        <f xml:space="preserve"> 0.821186132769772 * 0.189492449878329%</f>
        <v>1.5560857210465484E-3</v>
      </c>
      <c r="D2037" t="s">
        <v>256</v>
      </c>
      <c r="E2037" t="s">
        <v>307</v>
      </c>
      <c r="F2037" t="s">
        <v>357</v>
      </c>
      <c r="G2037" s="4" t="s">
        <v>245</v>
      </c>
    </row>
    <row r="2038" spans="1:8" hidden="1" x14ac:dyDescent="0.2">
      <c r="A2038" t="s">
        <v>58</v>
      </c>
      <c r="B2038" t="s">
        <v>180</v>
      </c>
      <c r="C2038" s="4">
        <f xml:space="preserve"> 0.178813867230228 * 0.189492449878329%</f>
        <v>3.3883877773674154E-4</v>
      </c>
      <c r="D2038" t="s">
        <v>242</v>
      </c>
      <c r="E2038" t="s">
        <v>317</v>
      </c>
      <c r="F2038" t="s">
        <v>357</v>
      </c>
      <c r="G2038" s="4" t="s">
        <v>245</v>
      </c>
    </row>
    <row r="2039" spans="1:8" hidden="1" x14ac:dyDescent="0.2">
      <c r="A2039" t="s">
        <v>359</v>
      </c>
      <c r="B2039" t="s">
        <v>124</v>
      </c>
      <c r="C2039" s="4">
        <v>1.3768288877058399E-3</v>
      </c>
      <c r="D2039" t="s">
        <v>256</v>
      </c>
      <c r="E2039" t="s">
        <v>361</v>
      </c>
      <c r="F2039" t="s">
        <v>362</v>
      </c>
      <c r="G2039" s="4" t="s">
        <v>245</v>
      </c>
      <c r="H2039" t="s">
        <v>360</v>
      </c>
    </row>
    <row r="2040" spans="1:8" hidden="1" x14ac:dyDescent="0.2">
      <c r="A2040" t="s">
        <v>359</v>
      </c>
      <c r="B2040" t="s">
        <v>164</v>
      </c>
      <c r="C2040" s="4">
        <v>2.9177213855862E-2</v>
      </c>
      <c r="D2040" t="s">
        <v>256</v>
      </c>
      <c r="E2040" t="s">
        <v>361</v>
      </c>
      <c r="F2040" t="s">
        <v>362</v>
      </c>
      <c r="G2040" s="4" t="s">
        <v>245</v>
      </c>
    </row>
    <row r="2041" spans="1:8" hidden="1" x14ac:dyDescent="0.2">
      <c r="A2041" t="s">
        <v>359</v>
      </c>
      <c r="B2041" t="s">
        <v>85</v>
      </c>
      <c r="C2041" s="4">
        <v>6.7991550010164695E-4</v>
      </c>
      <c r="D2041" t="s">
        <v>256</v>
      </c>
      <c r="E2041" t="s">
        <v>361</v>
      </c>
      <c r="F2041" t="s">
        <v>362</v>
      </c>
      <c r="G2041" s="4" t="s">
        <v>245</v>
      </c>
    </row>
    <row r="2042" spans="1:8" hidden="1" x14ac:dyDescent="0.2">
      <c r="A2042" t="s">
        <v>359</v>
      </c>
      <c r="B2042" t="s">
        <v>116</v>
      </c>
      <c r="C2042" s="4">
        <v>1.26641061048933E-2</v>
      </c>
      <c r="D2042" t="s">
        <v>256</v>
      </c>
      <c r="E2042" t="s">
        <v>361</v>
      </c>
      <c r="F2042" t="s">
        <v>362</v>
      </c>
      <c r="G2042" s="4" t="s">
        <v>245</v>
      </c>
    </row>
    <row r="2043" spans="1:8" hidden="1" x14ac:dyDescent="0.2">
      <c r="A2043" t="s">
        <v>359</v>
      </c>
      <c r="B2043" t="s">
        <v>145</v>
      </c>
      <c r="C2043" s="4">
        <v>0.19375212048646601</v>
      </c>
      <c r="D2043" t="s">
        <v>256</v>
      </c>
      <c r="E2043" t="s">
        <v>361</v>
      </c>
      <c r="F2043" t="s">
        <v>362</v>
      </c>
      <c r="G2043" s="4" t="s">
        <v>245</v>
      </c>
    </row>
    <row r="2044" spans="1:8" hidden="1" x14ac:dyDescent="0.2">
      <c r="A2044" t="s">
        <v>359</v>
      </c>
      <c r="B2044" t="s">
        <v>86</v>
      </c>
      <c r="C2044" s="4">
        <v>0.39764654048794801</v>
      </c>
      <c r="D2044" t="s">
        <v>256</v>
      </c>
      <c r="E2044" t="s">
        <v>361</v>
      </c>
      <c r="F2044" t="s">
        <v>362</v>
      </c>
      <c r="G2044" s="4" t="s">
        <v>245</v>
      </c>
    </row>
    <row r="2045" spans="1:8" hidden="1" x14ac:dyDescent="0.2">
      <c r="A2045" t="s">
        <v>359</v>
      </c>
      <c r="B2045" t="s">
        <v>99</v>
      </c>
      <c r="C2045" s="4">
        <v>2.5634174184832301E-2</v>
      </c>
      <c r="D2045" t="s">
        <v>256</v>
      </c>
      <c r="E2045" t="s">
        <v>361</v>
      </c>
      <c r="F2045" t="s">
        <v>362</v>
      </c>
      <c r="G2045" s="4" t="s">
        <v>245</v>
      </c>
    </row>
    <row r="2046" spans="1:8" hidden="1" x14ac:dyDescent="0.2">
      <c r="A2046" t="s">
        <v>359</v>
      </c>
      <c r="B2046" t="s">
        <v>102</v>
      </c>
      <c r="C2046" s="4">
        <v>8.1793834662228203E-4</v>
      </c>
      <c r="D2046" t="s">
        <v>256</v>
      </c>
      <c r="E2046" t="s">
        <v>361</v>
      </c>
      <c r="F2046" t="s">
        <v>362</v>
      </c>
      <c r="G2046" s="4" t="s">
        <v>245</v>
      </c>
    </row>
    <row r="2047" spans="1:8" hidden="1" x14ac:dyDescent="0.2">
      <c r="A2047" t="s">
        <v>359</v>
      </c>
      <c r="B2047" t="s">
        <v>170</v>
      </c>
      <c r="C2047" s="4">
        <v>6.7311634510063096E-5</v>
      </c>
      <c r="D2047" t="s">
        <v>256</v>
      </c>
      <c r="E2047" t="s">
        <v>361</v>
      </c>
      <c r="F2047" t="s">
        <v>362</v>
      </c>
      <c r="G2047" s="4" t="s">
        <v>245</v>
      </c>
    </row>
    <row r="2048" spans="1:8" hidden="1" x14ac:dyDescent="0.2">
      <c r="A2048" t="s">
        <v>359</v>
      </c>
      <c r="B2048" t="s">
        <v>150</v>
      </c>
      <c r="C2048" s="4">
        <v>6.3123355029436903E-2</v>
      </c>
      <c r="D2048" t="s">
        <v>256</v>
      </c>
      <c r="E2048" t="s">
        <v>361</v>
      </c>
      <c r="F2048" t="s">
        <v>362</v>
      </c>
      <c r="G2048" s="4" t="s">
        <v>245</v>
      </c>
    </row>
    <row r="2049" spans="1:7" hidden="1" x14ac:dyDescent="0.2">
      <c r="A2049" t="s">
        <v>359</v>
      </c>
      <c r="B2049" t="s">
        <v>173</v>
      </c>
      <c r="C2049" s="4">
        <v>9.2740474213864697E-3</v>
      </c>
      <c r="D2049" t="s">
        <v>256</v>
      </c>
      <c r="E2049" t="s">
        <v>361</v>
      </c>
      <c r="F2049" t="s">
        <v>362</v>
      </c>
      <c r="G2049" s="4" t="s">
        <v>245</v>
      </c>
    </row>
    <row r="2050" spans="1:7" hidden="1" x14ac:dyDescent="0.2">
      <c r="A2050" t="s">
        <v>359</v>
      </c>
      <c r="B2050" t="s">
        <v>132</v>
      </c>
      <c r="C2050" s="4">
        <v>6.7991550010164703E-6</v>
      </c>
      <c r="D2050" t="s">
        <v>335</v>
      </c>
      <c r="E2050" t="s">
        <v>361</v>
      </c>
      <c r="F2050" t="s">
        <v>362</v>
      </c>
      <c r="G2050" s="4" t="s">
        <v>245</v>
      </c>
    </row>
    <row r="2051" spans="1:7" hidden="1" x14ac:dyDescent="0.2">
      <c r="A2051" t="s">
        <v>359</v>
      </c>
      <c r="B2051" t="s">
        <v>146</v>
      </c>
      <c r="C2051" s="4">
        <v>0.103992395825047</v>
      </c>
      <c r="D2051" t="s">
        <v>256</v>
      </c>
      <c r="E2051" t="s">
        <v>361</v>
      </c>
      <c r="F2051" t="s">
        <v>362</v>
      </c>
      <c r="G2051" s="4" t="s">
        <v>245</v>
      </c>
    </row>
    <row r="2052" spans="1:7" hidden="1" x14ac:dyDescent="0.2">
      <c r="A2052" t="s">
        <v>359</v>
      </c>
      <c r="B2052" t="s">
        <v>151</v>
      </c>
      <c r="C2052" s="4">
        <v>4.1338862406180201E-3</v>
      </c>
      <c r="D2052" t="s">
        <v>335</v>
      </c>
      <c r="E2052" t="s">
        <v>361</v>
      </c>
      <c r="F2052" t="s">
        <v>362</v>
      </c>
      <c r="G2052" s="4" t="s">
        <v>245</v>
      </c>
    </row>
    <row r="2053" spans="1:7" hidden="1" x14ac:dyDescent="0.2">
      <c r="A2053" t="s">
        <v>359</v>
      </c>
      <c r="B2053" t="s">
        <v>107</v>
      </c>
      <c r="C2053" s="4">
        <v>7.60485486863693E-3</v>
      </c>
      <c r="D2053" t="s">
        <v>335</v>
      </c>
      <c r="E2053" t="s">
        <v>361</v>
      </c>
      <c r="F2053" t="s">
        <v>362</v>
      </c>
      <c r="G2053" s="4" t="s">
        <v>245</v>
      </c>
    </row>
    <row r="2054" spans="1:7" hidden="1" x14ac:dyDescent="0.2">
      <c r="A2054" t="s">
        <v>359</v>
      </c>
      <c r="B2054" t="s">
        <v>113</v>
      </c>
      <c r="C2054" s="4">
        <v>0.14815358747214899</v>
      </c>
      <c r="D2054" t="s">
        <v>256</v>
      </c>
      <c r="E2054" t="s">
        <v>361</v>
      </c>
      <c r="F2054" t="s">
        <v>362</v>
      </c>
      <c r="G2054" s="4" t="s">
        <v>245</v>
      </c>
    </row>
    <row r="2055" spans="1:7" hidden="1" x14ac:dyDescent="0.2">
      <c r="A2055" t="s">
        <v>359</v>
      </c>
      <c r="B2055" t="s">
        <v>180</v>
      </c>
      <c r="C2055" s="4">
        <v>1.8949244987832899E-3</v>
      </c>
      <c r="D2055" t="s">
        <v>256</v>
      </c>
      <c r="E2055" t="s">
        <v>361</v>
      </c>
      <c r="F2055" t="s">
        <v>362</v>
      </c>
      <c r="G2055" s="4" t="s">
        <v>245</v>
      </c>
    </row>
    <row r="2056" spans="1:7" hidden="1" x14ac:dyDescent="0.2">
      <c r="A2056" t="s">
        <v>59</v>
      </c>
      <c r="B2056" t="s">
        <v>153</v>
      </c>
      <c r="C2056" s="4">
        <f>(0.965752550654969/(0.965752550654969+0.034247449345031)) * 0.162746135591046%</f>
        <v>1.5717249555629211E-3</v>
      </c>
      <c r="D2056" t="s">
        <v>289</v>
      </c>
      <c r="E2056" t="s">
        <v>406</v>
      </c>
      <c r="F2056" t="s">
        <v>407</v>
      </c>
      <c r="G2056" s="4" t="s">
        <v>245</v>
      </c>
    </row>
    <row r="2057" spans="1:7" hidden="1" x14ac:dyDescent="0.2">
      <c r="A2057" t="s">
        <v>59</v>
      </c>
      <c r="B2057" t="s">
        <v>153</v>
      </c>
      <c r="C2057" s="4">
        <f>(0.034247449345031/(0.965752550654969+0.034247449345031)) * 0.162746135591046%</f>
        <v>5.5736400347538957E-5</v>
      </c>
      <c r="D2057" t="s">
        <v>242</v>
      </c>
      <c r="E2057" t="s">
        <v>290</v>
      </c>
      <c r="F2057" t="s">
        <v>407</v>
      </c>
      <c r="G2057" s="4" t="s">
        <v>245</v>
      </c>
    </row>
    <row r="2058" spans="1:7" hidden="1" x14ac:dyDescent="0.2">
      <c r="A2058" t="s">
        <v>59</v>
      </c>
      <c r="B2058" t="s">
        <v>83</v>
      </c>
      <c r="C2058" s="4">
        <f>(0.965752550654969/(0.965752550654969+0.034247449345031)) * 6.61005548072606%</f>
        <v>6.3836779404820493E-2</v>
      </c>
      <c r="D2058" t="s">
        <v>289</v>
      </c>
      <c r="E2058" t="s">
        <v>406</v>
      </c>
      <c r="F2058" t="s">
        <v>407</v>
      </c>
      <c r="G2058" s="4" t="s">
        <v>245</v>
      </c>
    </row>
    <row r="2059" spans="1:7" hidden="1" x14ac:dyDescent="0.2">
      <c r="A2059" t="s">
        <v>59</v>
      </c>
      <c r="B2059" t="s">
        <v>83</v>
      </c>
      <c r="C2059" s="4">
        <f>(0.034247449345031/(0.965752550654969+0.034247449345031)) * 6.61005548072606%</f>
        <v>2.2637754024401029E-3</v>
      </c>
      <c r="D2059" t="s">
        <v>242</v>
      </c>
      <c r="E2059" t="s">
        <v>290</v>
      </c>
      <c r="F2059" t="s">
        <v>407</v>
      </c>
      <c r="G2059" s="4" t="s">
        <v>245</v>
      </c>
    </row>
    <row r="2060" spans="1:7" hidden="1" x14ac:dyDescent="0.2">
      <c r="A2060" t="s">
        <v>59</v>
      </c>
      <c r="B2060" t="s">
        <v>85</v>
      </c>
      <c r="C2060" s="4">
        <f>(0.965752550654969/(0.965752550654969+0.034247449345031)) * 2.8646334423706%</f>
        <v>2.7665270536609311E-2</v>
      </c>
      <c r="D2060" t="s">
        <v>289</v>
      </c>
      <c r="E2060" t="s">
        <v>406</v>
      </c>
      <c r="F2060" t="s">
        <v>407</v>
      </c>
      <c r="G2060" s="4" t="s">
        <v>245</v>
      </c>
    </row>
    <row r="2061" spans="1:7" hidden="1" x14ac:dyDescent="0.2">
      <c r="A2061" t="s">
        <v>59</v>
      </c>
      <c r="B2061" t="s">
        <v>85</v>
      </c>
      <c r="C2061" s="4">
        <f>(0.034247449345031/(0.965752550654969+0.034247449345031)) * 2.8646334423706%</f>
        <v>9.8106388709668919E-4</v>
      </c>
      <c r="D2061" t="s">
        <v>242</v>
      </c>
      <c r="E2061" t="s">
        <v>290</v>
      </c>
      <c r="F2061" t="s">
        <v>407</v>
      </c>
      <c r="G2061" s="4" t="s">
        <v>245</v>
      </c>
    </row>
    <row r="2062" spans="1:7" hidden="1" x14ac:dyDescent="0.2">
      <c r="A2062" t="s">
        <v>59</v>
      </c>
      <c r="B2062" t="s">
        <v>116</v>
      </c>
      <c r="C2062" s="4">
        <f>(0.965752550654969/(0.965752550654969+0.034247449345031)) * 7.07132319928164%</f>
        <v>6.8291484162118998E-2</v>
      </c>
      <c r="D2062" t="s">
        <v>289</v>
      </c>
      <c r="E2062" t="s">
        <v>406</v>
      </c>
      <c r="F2062" t="s">
        <v>407</v>
      </c>
      <c r="G2062" s="4" t="s">
        <v>245</v>
      </c>
    </row>
    <row r="2063" spans="1:7" hidden="1" x14ac:dyDescent="0.2">
      <c r="A2063" t="s">
        <v>59</v>
      </c>
      <c r="B2063" t="s">
        <v>116</v>
      </c>
      <c r="C2063" s="4">
        <f>(0.034247449345031/(0.965752550654969+0.034247449345031)) * 7.07132319928164%</f>
        <v>2.4217478306974055E-3</v>
      </c>
      <c r="D2063" t="s">
        <v>242</v>
      </c>
      <c r="E2063" t="s">
        <v>290</v>
      </c>
      <c r="F2063" t="s">
        <v>407</v>
      </c>
      <c r="G2063" s="4" t="s">
        <v>245</v>
      </c>
    </row>
    <row r="2064" spans="1:7" hidden="1" x14ac:dyDescent="0.2">
      <c r="A2064" t="s">
        <v>59</v>
      </c>
      <c r="B2064" t="s">
        <v>86</v>
      </c>
      <c r="C2064" s="4">
        <v>4.1566448592136492E-2</v>
      </c>
      <c r="D2064" t="s">
        <v>254</v>
      </c>
      <c r="E2064" t="s">
        <v>404</v>
      </c>
      <c r="F2064" t="s">
        <v>405</v>
      </c>
      <c r="G2064" s="4" t="s">
        <v>245</v>
      </c>
    </row>
    <row r="2065" spans="1:7" hidden="1" x14ac:dyDescent="0.2">
      <c r="A2065" t="s">
        <v>59</v>
      </c>
      <c r="B2065" t="s">
        <v>87</v>
      </c>
      <c r="C2065" s="4">
        <f>(0.965752550654969/(0.965752550654969+0.034247449345031)) * 1.59247322173049%</f>
        <v>1.5379350757359567E-2</v>
      </c>
      <c r="D2065" t="s">
        <v>289</v>
      </c>
      <c r="E2065" t="s">
        <v>406</v>
      </c>
      <c r="F2065" t="s">
        <v>407</v>
      </c>
      <c r="G2065" s="4" t="s">
        <v>245</v>
      </c>
    </row>
    <row r="2066" spans="1:7" hidden="1" x14ac:dyDescent="0.2">
      <c r="A2066" t="s">
        <v>59</v>
      </c>
      <c r="B2066" t="s">
        <v>87</v>
      </c>
      <c r="C2066" s="4">
        <f>(0.034247449345031/(0.965752550654969+0.034247449345031)) * 1.59247322173049%</f>
        <v>5.4538145994533285E-4</v>
      </c>
      <c r="D2066" t="s">
        <v>242</v>
      </c>
      <c r="E2066" t="s">
        <v>290</v>
      </c>
      <c r="F2066" t="s">
        <v>407</v>
      </c>
      <c r="G2066" s="4" t="s">
        <v>245</v>
      </c>
    </row>
    <row r="2067" spans="1:7" hidden="1" x14ac:dyDescent="0.2">
      <c r="A2067" t="s">
        <v>59</v>
      </c>
      <c r="B2067" t="s">
        <v>160</v>
      </c>
      <c r="C2067" s="4">
        <f>(0.965752550654969/(0.965752550654969+0.034247449345031)) * 1.93861843371176%</f>
        <v>1.8722256971038732E-2</v>
      </c>
      <c r="D2067" t="s">
        <v>289</v>
      </c>
      <c r="E2067" t="s">
        <v>406</v>
      </c>
      <c r="F2067" t="s">
        <v>407</v>
      </c>
      <c r="G2067" s="4" t="s">
        <v>245</v>
      </c>
    </row>
    <row r="2068" spans="1:7" hidden="1" x14ac:dyDescent="0.2">
      <c r="A2068" t="s">
        <v>59</v>
      </c>
      <c r="B2068" t="s">
        <v>160</v>
      </c>
      <c r="C2068" s="4">
        <f>(0.034247449345031/(0.965752550654969+0.034247449345031)) * 1.93861843371176%</f>
        <v>6.6392736607886842E-4</v>
      </c>
      <c r="D2068" t="s">
        <v>242</v>
      </c>
      <c r="E2068" t="s">
        <v>290</v>
      </c>
      <c r="F2068" t="s">
        <v>407</v>
      </c>
      <c r="G2068" s="4" t="s">
        <v>245</v>
      </c>
    </row>
    <row r="2069" spans="1:7" hidden="1" x14ac:dyDescent="0.2">
      <c r="A2069" t="s">
        <v>59</v>
      </c>
      <c r="B2069" t="s">
        <v>89</v>
      </c>
      <c r="C2069" s="4">
        <f>(0.965752550654969/(0.965752550654969+0.034247449345031)) * 0.907165993201206%</f>
        <v>8.7609787180151291E-3</v>
      </c>
      <c r="D2069" t="s">
        <v>289</v>
      </c>
      <c r="E2069" t="s">
        <v>406</v>
      </c>
      <c r="F2069" t="s">
        <v>407</v>
      </c>
      <c r="G2069" s="4" t="s">
        <v>245</v>
      </c>
    </row>
    <row r="2070" spans="1:7" hidden="1" x14ac:dyDescent="0.2">
      <c r="A2070" t="s">
        <v>59</v>
      </c>
      <c r="B2070" t="s">
        <v>89</v>
      </c>
      <c r="C2070" s="4">
        <f>(0.034247449345031/(0.965752550654969+0.034247449345031)) * 0.907165993201206%</f>
        <v>3.1068121399693035E-4</v>
      </c>
      <c r="D2070" t="s">
        <v>242</v>
      </c>
      <c r="E2070" t="s">
        <v>290</v>
      </c>
      <c r="F2070" t="s">
        <v>407</v>
      </c>
      <c r="G2070" s="4" t="s">
        <v>245</v>
      </c>
    </row>
    <row r="2071" spans="1:7" hidden="1" x14ac:dyDescent="0.2">
      <c r="A2071" t="s">
        <v>59</v>
      </c>
      <c r="B2071" t="s">
        <v>154</v>
      </c>
      <c r="C2071" s="4">
        <f>(0.965752550654969/(0.965752550654969+0.034247449345031)) * 1.60617503688025%</f>
        <v>1.5511676386654405E-2</v>
      </c>
      <c r="D2071" t="s">
        <v>289</v>
      </c>
      <c r="E2071" t="s">
        <v>406</v>
      </c>
      <c r="F2071" t="s">
        <v>407</v>
      </c>
      <c r="G2071" s="4" t="s">
        <v>245</v>
      </c>
    </row>
    <row r="2072" spans="1:7" hidden="1" x14ac:dyDescent="0.2">
      <c r="A2072" t="s">
        <v>59</v>
      </c>
      <c r="B2072" t="s">
        <v>154</v>
      </c>
      <c r="C2072" s="4">
        <f>(0.034247449345031/(0.965752550654969+0.034247449345031)) * 1.60617503688025%</f>
        <v>5.5007398214809667E-4</v>
      </c>
      <c r="D2072" t="s">
        <v>242</v>
      </c>
      <c r="E2072" t="s">
        <v>290</v>
      </c>
      <c r="F2072" t="s">
        <v>407</v>
      </c>
      <c r="G2072" s="4" t="s">
        <v>245</v>
      </c>
    </row>
    <row r="2073" spans="1:7" hidden="1" x14ac:dyDescent="0.2">
      <c r="A2073" t="s">
        <v>59</v>
      </c>
      <c r="B2073" t="s">
        <v>93</v>
      </c>
      <c r="C2073" s="4">
        <f>(0.965752550654969/(0.965752550654969+0.034247449345031)) * 0.50189211724713%</f>
        <v>4.8470359238503855E-3</v>
      </c>
      <c r="D2073" t="s">
        <v>289</v>
      </c>
      <c r="E2073" t="s">
        <v>406</v>
      </c>
      <c r="F2073" t="s">
        <v>407</v>
      </c>
      <c r="G2073" s="4" t="s">
        <v>245</v>
      </c>
    </row>
    <row r="2074" spans="1:7" hidden="1" x14ac:dyDescent="0.2">
      <c r="A2074" t="s">
        <v>59</v>
      </c>
      <c r="B2074" t="s">
        <v>93</v>
      </c>
      <c r="C2074" s="4">
        <f>(0.034247449345031/(0.965752550654969+0.034247449345031)) * 0.50189211724713%</f>
        <v>1.7188524862091448E-4</v>
      </c>
      <c r="D2074" t="s">
        <v>242</v>
      </c>
      <c r="E2074" t="s">
        <v>290</v>
      </c>
      <c r="F2074" t="s">
        <v>407</v>
      </c>
      <c r="G2074" s="4" t="s">
        <v>245</v>
      </c>
    </row>
    <row r="2075" spans="1:7" hidden="1" x14ac:dyDescent="0.2">
      <c r="A2075" t="s">
        <v>59</v>
      </c>
      <c r="B2075" t="s">
        <v>196</v>
      </c>
      <c r="C2075" s="4">
        <f>(0.965752550654969/(0.965752550654969+0.034247449345031)) * 1.96601404656533%</f>
        <v>1.8986830800939644E-2</v>
      </c>
      <c r="D2075" t="s">
        <v>289</v>
      </c>
      <c r="E2075" t="s">
        <v>406</v>
      </c>
      <c r="F2075" t="s">
        <v>407</v>
      </c>
      <c r="G2075" s="4" t="s">
        <v>245</v>
      </c>
    </row>
    <row r="2076" spans="1:7" hidden="1" x14ac:dyDescent="0.2">
      <c r="A2076" t="s">
        <v>59</v>
      </c>
      <c r="B2076" t="s">
        <v>196</v>
      </c>
      <c r="C2076" s="4">
        <f>(0.034247449345031/(0.965752550654969+0.034247449345031)) * 1.96601404656533%</f>
        <v>6.7330966471365562E-4</v>
      </c>
      <c r="D2076" t="s">
        <v>242</v>
      </c>
      <c r="E2076" t="s">
        <v>290</v>
      </c>
      <c r="F2076" t="s">
        <v>407</v>
      </c>
      <c r="G2076" s="4" t="s">
        <v>245</v>
      </c>
    </row>
    <row r="2077" spans="1:7" hidden="1" x14ac:dyDescent="0.2">
      <c r="A2077" t="s">
        <v>59</v>
      </c>
      <c r="B2077" t="s">
        <v>98</v>
      </c>
      <c r="C2077" s="4">
        <f>(0.965752550654969/(0.965752550654969+0.034247449345031)) * 32.3319543326278%</f>
        <v>0.31224667364395281</v>
      </c>
      <c r="D2077" t="s">
        <v>289</v>
      </c>
      <c r="E2077" t="s">
        <v>406</v>
      </c>
      <c r="F2077" t="s">
        <v>407</v>
      </c>
      <c r="G2077" s="4" t="s">
        <v>245</v>
      </c>
    </row>
    <row r="2078" spans="1:7" hidden="1" x14ac:dyDescent="0.2">
      <c r="A2078" t="s">
        <v>59</v>
      </c>
      <c r="B2078" t="s">
        <v>98</v>
      </c>
      <c r="C2078" s="4">
        <f>(0.034247449345031/(0.965752550654969+0.034247449345031)) * 32.3319543326278%</f>
        <v>1.1072869682325265E-2</v>
      </c>
      <c r="D2078" t="s">
        <v>242</v>
      </c>
      <c r="E2078" t="s">
        <v>290</v>
      </c>
      <c r="F2078" t="s">
        <v>407</v>
      </c>
      <c r="G2078" s="4" t="s">
        <v>245</v>
      </c>
    </row>
    <row r="2079" spans="1:7" hidden="1" x14ac:dyDescent="0.2">
      <c r="A2079" t="s">
        <v>59</v>
      </c>
      <c r="B2079" t="s">
        <v>100</v>
      </c>
      <c r="C2079" s="4">
        <f>(0.965752550654969/(0.965752550654969+0.034247449345031)) * 0.500288628054647%</f>
        <v>4.8315501860745043E-3</v>
      </c>
      <c r="D2079" t="s">
        <v>289</v>
      </c>
      <c r="E2079" t="s">
        <v>406</v>
      </c>
      <c r="F2079" t="s">
        <v>407</v>
      </c>
      <c r="G2079" s="4" t="s">
        <v>245</v>
      </c>
    </row>
    <row r="2080" spans="1:7" hidden="1" x14ac:dyDescent="0.2">
      <c r="A2080" t="s">
        <v>59</v>
      </c>
      <c r="B2080" t="s">
        <v>100</v>
      </c>
      <c r="C2080" s="4">
        <f>(0.034247449345031/(0.965752550654969+0.034247449345031)) * 0.500288628054647%</f>
        <v>1.713360944719658E-4</v>
      </c>
      <c r="D2080" t="s">
        <v>242</v>
      </c>
      <c r="E2080" t="s">
        <v>290</v>
      </c>
      <c r="F2080" t="s">
        <v>407</v>
      </c>
      <c r="G2080" s="4" t="s">
        <v>245</v>
      </c>
    </row>
    <row r="2081" spans="1:7" hidden="1" x14ac:dyDescent="0.2">
      <c r="A2081" t="s">
        <v>59</v>
      </c>
      <c r="B2081" t="s">
        <v>230</v>
      </c>
      <c r="C2081" s="4">
        <f>(0.965752550654969/(0.965752550654969+0.034247449345031)) * 0.191761272529023%</f>
        <v>1.8519393806174661E-3</v>
      </c>
      <c r="D2081" t="s">
        <v>289</v>
      </c>
      <c r="E2081" t="s">
        <v>406</v>
      </c>
      <c r="F2081" t="s">
        <v>407</v>
      </c>
      <c r="G2081" s="4" t="s">
        <v>245</v>
      </c>
    </row>
    <row r="2082" spans="1:7" hidden="1" x14ac:dyDescent="0.2">
      <c r="A2082" t="s">
        <v>59</v>
      </c>
      <c r="B2082" t="s">
        <v>230</v>
      </c>
      <c r="C2082" s="4">
        <f>(0.034247449345031/(0.965752550654969+0.034247449345031)) * 0.191761272529023%</f>
        <v>6.5673344672763996E-5</v>
      </c>
      <c r="D2082" t="s">
        <v>242</v>
      </c>
      <c r="E2082" t="s">
        <v>290</v>
      </c>
      <c r="F2082" t="s">
        <v>407</v>
      </c>
      <c r="G2082" s="4" t="s">
        <v>245</v>
      </c>
    </row>
    <row r="2083" spans="1:7" hidden="1" x14ac:dyDescent="0.2">
      <c r="A2083" t="s">
        <v>59</v>
      </c>
      <c r="B2083" t="s">
        <v>141</v>
      </c>
      <c r="C2083" s="4">
        <f>(0.965752550654969/(0.965752550654969+0.034247449345031)) * 1.13515810403438%</f>
        <v>1.0962818343678611E-2</v>
      </c>
      <c r="D2083" t="s">
        <v>289</v>
      </c>
      <c r="E2083" t="s">
        <v>406</v>
      </c>
      <c r="F2083" t="s">
        <v>407</v>
      </c>
      <c r="G2083" s="4" t="s">
        <v>245</v>
      </c>
    </row>
    <row r="2084" spans="1:7" hidden="1" x14ac:dyDescent="0.2">
      <c r="A2084" t="s">
        <v>59</v>
      </c>
      <c r="B2084" t="s">
        <v>141</v>
      </c>
      <c r="C2084" s="4">
        <f>(0.034247449345031/(0.965752550654969+0.034247449345031)) * 1.13515810403438%</f>
        <v>3.8876269666518861E-4</v>
      </c>
      <c r="D2084" t="s">
        <v>242</v>
      </c>
      <c r="E2084" t="s">
        <v>290</v>
      </c>
      <c r="F2084" t="s">
        <v>407</v>
      </c>
      <c r="G2084" s="4" t="s">
        <v>245</v>
      </c>
    </row>
    <row r="2085" spans="1:7" hidden="1" x14ac:dyDescent="0.2">
      <c r="A2085" t="s">
        <v>59</v>
      </c>
      <c r="B2085" t="s">
        <v>161</v>
      </c>
      <c r="C2085" s="4">
        <f>(0.965752550654969/(0.965752550654969+0.034247449345031)) * 0.00523539221345648%</f>
        <v>5.0560933838247592E-5</v>
      </c>
      <c r="D2085" t="s">
        <v>289</v>
      </c>
      <c r="E2085" t="s">
        <v>406</v>
      </c>
      <c r="F2085" t="s">
        <v>407</v>
      </c>
      <c r="G2085" s="4" t="s">
        <v>245</v>
      </c>
    </row>
    <row r="2086" spans="1:7" hidden="1" x14ac:dyDescent="0.2">
      <c r="A2086" t="s">
        <v>59</v>
      </c>
      <c r="B2086" t="s">
        <v>161</v>
      </c>
      <c r="C2086" s="4">
        <f>(0.034247449345031/(0.965752550654969+0.034247449345031)) * 0.00523539221345648%</f>
        <v>1.7929882963172053E-6</v>
      </c>
      <c r="D2086" t="s">
        <v>242</v>
      </c>
      <c r="E2086" t="s">
        <v>290</v>
      </c>
      <c r="F2086" t="s">
        <v>407</v>
      </c>
      <c r="G2086" s="4" t="s">
        <v>245</v>
      </c>
    </row>
    <row r="2087" spans="1:7" hidden="1" x14ac:dyDescent="0.2">
      <c r="A2087" t="s">
        <v>59</v>
      </c>
      <c r="B2087" t="s">
        <v>174</v>
      </c>
      <c r="C2087" s="4">
        <f>(0.965752550654969/(0.965752550654969+0.034247449345031)) * 0.733620357898788%</f>
        <v>7.084957318531657E-3</v>
      </c>
      <c r="D2087" t="s">
        <v>289</v>
      </c>
      <c r="E2087" t="s">
        <v>406</v>
      </c>
      <c r="F2087" t="s">
        <v>407</v>
      </c>
      <c r="G2087" s="4" t="s">
        <v>245</v>
      </c>
    </row>
    <row r="2088" spans="1:7" hidden="1" x14ac:dyDescent="0.2">
      <c r="A2088" t="s">
        <v>59</v>
      </c>
      <c r="B2088" t="s">
        <v>174</v>
      </c>
      <c r="C2088" s="4">
        <f>(0.034247449345031/(0.965752550654969+0.034247449345031)) * 0.733620357898788%</f>
        <v>2.5124626045622256E-4</v>
      </c>
      <c r="D2088" t="s">
        <v>242</v>
      </c>
      <c r="E2088" t="s">
        <v>290</v>
      </c>
      <c r="F2088" t="s">
        <v>407</v>
      </c>
      <c r="G2088" s="4" t="s">
        <v>245</v>
      </c>
    </row>
    <row r="2089" spans="1:7" hidden="1" x14ac:dyDescent="0.2">
      <c r="A2089" t="s">
        <v>59</v>
      </c>
      <c r="B2089" t="s">
        <v>162</v>
      </c>
      <c r="C2089" s="4">
        <f>(0.965752550654969/(0.965752550654969+0.034247449345031)) * 8.22229972419986%</f>
        <v>7.9407069308956635E-2</v>
      </c>
      <c r="D2089" t="s">
        <v>289</v>
      </c>
      <c r="E2089" t="s">
        <v>406</v>
      </c>
      <c r="F2089" t="s">
        <v>407</v>
      </c>
      <c r="G2089" s="4" t="s">
        <v>245</v>
      </c>
    </row>
    <row r="2090" spans="1:7" hidden="1" x14ac:dyDescent="0.2">
      <c r="A2090" t="s">
        <v>59</v>
      </c>
      <c r="B2090" t="s">
        <v>162</v>
      </c>
      <c r="C2090" s="4">
        <f>(0.034247449345031/(0.965752550654969+0.034247449345031)) * 8.22229972419986%</f>
        <v>2.8159279330419711E-3</v>
      </c>
      <c r="D2090" t="s">
        <v>242</v>
      </c>
      <c r="E2090" t="s">
        <v>290</v>
      </c>
      <c r="F2090" t="s">
        <v>407</v>
      </c>
      <c r="G2090" s="4" t="s">
        <v>245</v>
      </c>
    </row>
    <row r="2091" spans="1:7" hidden="1" x14ac:dyDescent="0.2">
      <c r="A2091" t="s">
        <v>59</v>
      </c>
      <c r="B2091" t="s">
        <v>132</v>
      </c>
      <c r="C2091" s="4">
        <f>(0.965752550654969/(0.965752550654969+0.034247449345031)) * 0.00962093515489706%</f>
        <v>9.2914426655278949E-5</v>
      </c>
      <c r="D2091" t="s">
        <v>289</v>
      </c>
      <c r="E2091" t="s">
        <v>406</v>
      </c>
      <c r="F2091" t="s">
        <v>407</v>
      </c>
      <c r="G2091" s="4" t="s">
        <v>245</v>
      </c>
    </row>
    <row r="2092" spans="1:7" hidden="1" x14ac:dyDescent="0.2">
      <c r="A2092" t="s">
        <v>59</v>
      </c>
      <c r="B2092" t="s">
        <v>132</v>
      </c>
      <c r="C2092" s="4">
        <f>(0.034247449345031/(0.965752550654969+0.034247449345031)) * 0.00962093515489706%</f>
        <v>3.2949248936916507E-6</v>
      </c>
      <c r="D2092" t="s">
        <v>242</v>
      </c>
      <c r="E2092" t="s">
        <v>290</v>
      </c>
      <c r="F2092" t="s">
        <v>407</v>
      </c>
      <c r="G2092" s="4" t="s">
        <v>245</v>
      </c>
    </row>
    <row r="2093" spans="1:7" hidden="1" x14ac:dyDescent="0.2">
      <c r="A2093" t="s">
        <v>59</v>
      </c>
      <c r="B2093" t="s">
        <v>155</v>
      </c>
      <c r="C2093" s="4">
        <f>(0.965752550654969/(0.965752550654969+0.034247449345031)) * 1.34983323712398%</f>
        <v>1.3036048917113375E-2</v>
      </c>
      <c r="D2093" t="s">
        <v>289</v>
      </c>
      <c r="E2093" t="s">
        <v>406</v>
      </c>
      <c r="F2093" t="s">
        <v>407</v>
      </c>
      <c r="G2093" s="4" t="s">
        <v>245</v>
      </c>
    </row>
    <row r="2094" spans="1:7" hidden="1" x14ac:dyDescent="0.2">
      <c r="A2094" t="s">
        <v>59</v>
      </c>
      <c r="B2094" t="s">
        <v>155</v>
      </c>
      <c r="C2094" s="4">
        <f>(0.034247449345031/(0.965752550654969+0.034247449345031)) * 1.34983323712398%</f>
        <v>4.6228345412642729E-4</v>
      </c>
      <c r="D2094" t="s">
        <v>242</v>
      </c>
      <c r="E2094" t="s">
        <v>290</v>
      </c>
      <c r="F2094" t="s">
        <v>407</v>
      </c>
      <c r="G2094" s="4" t="s">
        <v>245</v>
      </c>
    </row>
    <row r="2095" spans="1:7" hidden="1" x14ac:dyDescent="0.2">
      <c r="A2095" t="s">
        <v>59</v>
      </c>
      <c r="B2095" t="s">
        <v>156</v>
      </c>
      <c r="C2095" s="4">
        <f>(0.965752550654969/(0.965752550654969+0.034247449345031)) * 13.8092409082163%</f>
        <v>0.13336309629718832</v>
      </c>
      <c r="D2095" t="s">
        <v>289</v>
      </c>
      <c r="E2095" t="s">
        <v>406</v>
      </c>
      <c r="F2095" t="s">
        <v>407</v>
      </c>
      <c r="G2095" s="4" t="s">
        <v>245</v>
      </c>
    </row>
    <row r="2096" spans="1:7" hidden="1" x14ac:dyDescent="0.2">
      <c r="A2096" t="s">
        <v>59</v>
      </c>
      <c r="B2096" t="s">
        <v>156</v>
      </c>
      <c r="C2096" s="4">
        <f>(0.034247449345031/(0.965752550654969+0.034247449345031)) * 13.8092409082163%</f>
        <v>4.7293127849746767E-3</v>
      </c>
      <c r="D2096" t="s">
        <v>242</v>
      </c>
      <c r="E2096" t="s">
        <v>290</v>
      </c>
      <c r="F2096" t="s">
        <v>407</v>
      </c>
      <c r="G2096" s="4" t="s">
        <v>245</v>
      </c>
    </row>
    <row r="2097" spans="1:8" hidden="1" x14ac:dyDescent="0.2">
      <c r="A2097" t="s">
        <v>59</v>
      </c>
      <c r="B2097" t="s">
        <v>151</v>
      </c>
      <c r="C2097" s="4">
        <f>(0.965752550654969/(0.965752550654969+0.034247449345031)) * 0.028782631005067%</f>
        <v>2.7796899307704244E-4</v>
      </c>
      <c r="D2097" t="s">
        <v>289</v>
      </c>
      <c r="E2097" t="s">
        <v>406</v>
      </c>
      <c r="F2097" t="s">
        <v>407</v>
      </c>
      <c r="G2097" s="4" t="s">
        <v>245</v>
      </c>
    </row>
    <row r="2098" spans="1:8" hidden="1" x14ac:dyDescent="0.2">
      <c r="A2098" t="s">
        <v>59</v>
      </c>
      <c r="B2098" t="s">
        <v>151</v>
      </c>
      <c r="C2098" s="4">
        <f>(0.034247449345031/(0.965752550654969+0.034247449345031)) * 0.028782631005067%</f>
        <v>9.8573169736275067E-6</v>
      </c>
      <c r="D2098" t="s">
        <v>242</v>
      </c>
      <c r="E2098" t="s">
        <v>290</v>
      </c>
      <c r="F2098" t="s">
        <v>407</v>
      </c>
      <c r="G2098" s="4" t="s">
        <v>245</v>
      </c>
    </row>
    <row r="2099" spans="1:8" hidden="1" x14ac:dyDescent="0.2">
      <c r="A2099" t="s">
        <v>59</v>
      </c>
      <c r="B2099" t="s">
        <v>107</v>
      </c>
      <c r="C2099" s="4">
        <f>(0.965752550654969/(0.965752550654969+0.034247449345031)) * 8.73500737605029%</f>
        <v>8.4358556534105372E-2</v>
      </c>
      <c r="D2099" t="s">
        <v>289</v>
      </c>
      <c r="E2099" t="s">
        <v>406</v>
      </c>
      <c r="F2099" t="s">
        <v>407</v>
      </c>
      <c r="G2099" s="4" t="s">
        <v>245</v>
      </c>
    </row>
    <row r="2100" spans="1:8" hidden="1" x14ac:dyDescent="0.2">
      <c r="A2100" t="s">
        <v>59</v>
      </c>
      <c r="B2100" t="s">
        <v>107</v>
      </c>
      <c r="C2100" s="4">
        <f>(0.034247449345031/(0.965752550654969+0.034247449345031)) * 8.73500737605029%</f>
        <v>2.9915172263975452E-3</v>
      </c>
      <c r="D2100" t="s">
        <v>242</v>
      </c>
      <c r="E2100" t="s">
        <v>290</v>
      </c>
      <c r="F2100" t="s">
        <v>407</v>
      </c>
      <c r="G2100" s="4" t="s">
        <v>245</v>
      </c>
    </row>
    <row r="2101" spans="1:8" hidden="1" x14ac:dyDescent="0.2">
      <c r="A2101" t="s">
        <v>59</v>
      </c>
      <c r="B2101" t="s">
        <v>137</v>
      </c>
      <c r="C2101" s="4">
        <f>(0.965752550654969/(0.965752550654969+0.034247449345031)) * 1.61804887435059%</f>
        <v>1.5626348274884839E-2</v>
      </c>
      <c r="D2101" t="s">
        <v>289</v>
      </c>
      <c r="E2101" t="s">
        <v>406</v>
      </c>
      <c r="F2101" t="s">
        <v>407</v>
      </c>
      <c r="G2101" s="4" t="s">
        <v>245</v>
      </c>
    </row>
    <row r="2102" spans="1:8" hidden="1" x14ac:dyDescent="0.2">
      <c r="A2102" t="s">
        <v>59</v>
      </c>
      <c r="B2102" t="s">
        <v>137</v>
      </c>
      <c r="C2102" s="4">
        <f>(0.034247449345031/(0.965752550654969+0.034247449345031)) * 1.61804887435059%</f>
        <v>5.5414046862106269E-4</v>
      </c>
      <c r="D2102" t="s">
        <v>242</v>
      </c>
      <c r="E2102" t="s">
        <v>290</v>
      </c>
      <c r="F2102" t="s">
        <v>407</v>
      </c>
      <c r="G2102" s="4" t="s">
        <v>245</v>
      </c>
    </row>
    <row r="2103" spans="1:8" hidden="1" x14ac:dyDescent="0.2">
      <c r="A2103" t="s">
        <v>59</v>
      </c>
      <c r="B2103" t="s">
        <v>112</v>
      </c>
      <c r="C2103" s="4">
        <f>(0.965752550654969/(0.965752550654969+0.034247449345031)) * 0.520484574433968%</f>
        <v>5.0265930533617068E-3</v>
      </c>
      <c r="D2103" t="s">
        <v>289</v>
      </c>
      <c r="E2103" t="s">
        <v>406</v>
      </c>
      <c r="F2103" t="s">
        <v>407</v>
      </c>
      <c r="G2103" s="4" t="s">
        <v>245</v>
      </c>
    </row>
    <row r="2104" spans="1:8" hidden="1" x14ac:dyDescent="0.2">
      <c r="A2104" t="s">
        <v>59</v>
      </c>
      <c r="B2104" t="s">
        <v>112</v>
      </c>
      <c r="C2104" s="4">
        <f>(0.034247449345031/(0.965752550654969+0.034247449345031)) * 0.520484574433968%</f>
        <v>1.7825269097797338E-4</v>
      </c>
      <c r="D2104" t="s">
        <v>242</v>
      </c>
      <c r="E2104" t="s">
        <v>290</v>
      </c>
      <c r="F2104" t="s">
        <v>407</v>
      </c>
      <c r="G2104" s="4" t="s">
        <v>245</v>
      </c>
    </row>
    <row r="2105" spans="1:8" hidden="1" x14ac:dyDescent="0.2">
      <c r="A2105" t="s">
        <v>59</v>
      </c>
      <c r="B2105" t="s">
        <v>113</v>
      </c>
      <c r="C2105" s="4">
        <f>(0.965752550654969/(0.965752550654969+0.034247449345031)) * 0.710698479892246%</f>
        <v>6.8635886970254576E-3</v>
      </c>
      <c r="D2105" t="s">
        <v>289</v>
      </c>
      <c r="E2105" t="s">
        <v>406</v>
      </c>
      <c r="F2105" t="s">
        <v>407</v>
      </c>
      <c r="G2105" s="4" t="s">
        <v>245</v>
      </c>
    </row>
    <row r="2106" spans="1:8" hidden="1" x14ac:dyDescent="0.2">
      <c r="A2106" t="s">
        <v>59</v>
      </c>
      <c r="B2106" t="s">
        <v>113</v>
      </c>
      <c r="C2106" s="4">
        <f>(0.034247449345031/(0.965752550654969+0.034247449345031)) * 0.710698479892246%</f>
        <v>2.4339610189700228E-4</v>
      </c>
      <c r="D2106" t="s">
        <v>242</v>
      </c>
      <c r="E2106" t="s">
        <v>290</v>
      </c>
      <c r="F2106" t="s">
        <v>407</v>
      </c>
      <c r="G2106" s="4" t="s">
        <v>245</v>
      </c>
    </row>
    <row r="2107" spans="1:8" hidden="1" x14ac:dyDescent="0.2">
      <c r="A2107" t="s">
        <v>59</v>
      </c>
      <c r="B2107" t="s">
        <v>143</v>
      </c>
      <c r="C2107" s="4">
        <f>(0.965752550654969/(0.965752550654969+0.034247449345031)) * 0.0694070296966198%</f>
        <v>6.7030015962895749E-4</v>
      </c>
      <c r="D2107" t="s">
        <v>289</v>
      </c>
      <c r="E2107" t="s">
        <v>406</v>
      </c>
      <c r="F2107" t="s">
        <v>407</v>
      </c>
      <c r="G2107" s="4" t="s">
        <v>245</v>
      </c>
    </row>
    <row r="2108" spans="1:8" hidden="1" x14ac:dyDescent="0.2">
      <c r="A2108" t="s">
        <v>59</v>
      </c>
      <c r="B2108" t="s">
        <v>143</v>
      </c>
      <c r="C2108" s="4">
        <f>(0.034247449345031/(0.965752550654969+0.034247449345031)) * 0.0694070296966198%</f>
        <v>2.3770137337240492E-5</v>
      </c>
      <c r="D2108" t="s">
        <v>242</v>
      </c>
      <c r="E2108" t="s">
        <v>290</v>
      </c>
      <c r="F2108" t="s">
        <v>407</v>
      </c>
      <c r="G2108" s="4" t="s">
        <v>245</v>
      </c>
    </row>
    <row r="2109" spans="1:8" hidden="1" x14ac:dyDescent="0.2">
      <c r="A2109" t="s">
        <v>59</v>
      </c>
      <c r="B2109" t="s">
        <v>158</v>
      </c>
      <c r="C2109" s="4">
        <f>(0.965752550654969/(0.965752550654969+0.034247449345031)) * 0.650816175998974%</f>
        <v>6.2852738197852233E-3</v>
      </c>
      <c r="D2109" t="s">
        <v>289</v>
      </c>
      <c r="E2109" t="s">
        <v>406</v>
      </c>
      <c r="F2109" t="s">
        <v>407</v>
      </c>
      <c r="G2109" s="4" t="s">
        <v>245</v>
      </c>
    </row>
    <row r="2110" spans="1:8" hidden="1" x14ac:dyDescent="0.2">
      <c r="A2110" t="s">
        <v>59</v>
      </c>
      <c r="B2110" t="s">
        <v>158</v>
      </c>
      <c r="C2110" s="4">
        <f>(0.034247449345031/(0.965752550654969+0.034247449345031)) * 0.650816175998974%</f>
        <v>2.2288794020451644E-4</v>
      </c>
      <c r="D2110" t="s">
        <v>242</v>
      </c>
      <c r="E2110" t="s">
        <v>290</v>
      </c>
      <c r="F2110" t="s">
        <v>407</v>
      </c>
      <c r="G2110" s="4" t="s">
        <v>245</v>
      </c>
    </row>
    <row r="2111" spans="1:8" hidden="1" x14ac:dyDescent="0.2">
      <c r="A2111" t="s">
        <v>60</v>
      </c>
      <c r="B2111" t="s">
        <v>83</v>
      </c>
      <c r="C2111" s="4">
        <f>(0.139645918974656/(0.139645918974656+0.161885636831319+0.336648016439843)) * 4.49237849005033%</f>
        <v>9.8301849496275039E-3</v>
      </c>
      <c r="D2111" t="s">
        <v>242</v>
      </c>
      <c r="E2111" t="s">
        <v>402</v>
      </c>
      <c r="F2111" t="s">
        <v>400</v>
      </c>
      <c r="G2111" s="4" t="s">
        <v>245</v>
      </c>
      <c r="H2111" t="s">
        <v>403</v>
      </c>
    </row>
    <row r="2112" spans="1:8" hidden="1" x14ac:dyDescent="0.2">
      <c r="A2112" t="s">
        <v>60</v>
      </c>
      <c r="B2112" t="s">
        <v>83</v>
      </c>
      <c r="C2112" s="4">
        <f>(0.161885636831319/(0.139645918974656+0.161885636831319+0.336648016439843)) * 4.49237849005033%</f>
        <v>1.1395719706129825E-2</v>
      </c>
      <c r="D2112" t="s">
        <v>242</v>
      </c>
      <c r="E2112" t="s">
        <v>318</v>
      </c>
      <c r="F2112" t="s">
        <v>400</v>
      </c>
      <c r="G2112" s="4" t="s">
        <v>245</v>
      </c>
    </row>
    <row r="2113" spans="1:7" hidden="1" x14ac:dyDescent="0.2">
      <c r="A2113" t="s">
        <v>60</v>
      </c>
      <c r="B2113" t="s">
        <v>83</v>
      </c>
      <c r="C2113" s="4">
        <f>(0.336648016439843/(0.139645918974656+0.161885636831319+0.336648016439843)) * 4.49237849005033%</f>
        <v>2.3697880244745971E-2</v>
      </c>
      <c r="D2113" t="s">
        <v>242</v>
      </c>
      <c r="E2113" t="s">
        <v>290</v>
      </c>
      <c r="F2113" t="s">
        <v>400</v>
      </c>
      <c r="G2113" s="4" t="s">
        <v>245</v>
      </c>
    </row>
    <row r="2114" spans="1:7" hidden="1" x14ac:dyDescent="0.2">
      <c r="A2114" t="s">
        <v>60</v>
      </c>
      <c r="B2114" t="s">
        <v>181</v>
      </c>
      <c r="C2114" s="4">
        <f>(0.139645918974656/(0.139645918974656+0.161885636831319+0.336648016439843)) * 0.0288895222572721%</f>
        <v>6.3215810405187683E-5</v>
      </c>
      <c r="D2114" t="s">
        <v>242</v>
      </c>
      <c r="E2114" t="s">
        <v>402</v>
      </c>
      <c r="F2114" t="s">
        <v>400</v>
      </c>
      <c r="G2114" s="4" t="s">
        <v>245</v>
      </c>
    </row>
    <row r="2115" spans="1:7" hidden="1" x14ac:dyDescent="0.2">
      <c r="A2115" t="s">
        <v>60</v>
      </c>
      <c r="B2115" t="s">
        <v>181</v>
      </c>
      <c r="C2115" s="4">
        <f>(0.161885636831319/(0.139645918974656+0.161885636831319+0.336648016439843)) * 0.0288895222572721%</f>
        <v>7.3283428548377607E-5</v>
      </c>
      <c r="D2115" t="s">
        <v>242</v>
      </c>
      <c r="E2115" t="s">
        <v>318</v>
      </c>
      <c r="F2115" t="s">
        <v>400</v>
      </c>
      <c r="G2115" s="4" t="s">
        <v>245</v>
      </c>
    </row>
    <row r="2116" spans="1:7" hidden="1" x14ac:dyDescent="0.2">
      <c r="A2116" t="s">
        <v>60</v>
      </c>
      <c r="B2116" t="s">
        <v>181</v>
      </c>
      <c r="C2116" s="4">
        <f>(0.336648016439843/(0.139645918974656+0.161885636831319+0.336648016439843)) * 0.0288895222572721%</f>
        <v>1.5239598361915571E-4</v>
      </c>
      <c r="D2116" t="s">
        <v>242</v>
      </c>
      <c r="E2116" t="s">
        <v>290</v>
      </c>
      <c r="F2116" t="s">
        <v>400</v>
      </c>
      <c r="G2116" s="4" t="s">
        <v>245</v>
      </c>
    </row>
    <row r="2117" spans="1:7" hidden="1" x14ac:dyDescent="0.2">
      <c r="A2117" t="s">
        <v>60</v>
      </c>
      <c r="B2117" t="s">
        <v>85</v>
      </c>
      <c r="C2117" s="4">
        <f>(0.139645918974656/(0.139645918974656+0.161885636831319+0.336648016439843)) * 2.5208171706774%</f>
        <v>5.5160309993555201E-3</v>
      </c>
      <c r="D2117" t="s">
        <v>242</v>
      </c>
      <c r="E2117" t="s">
        <v>402</v>
      </c>
      <c r="F2117" t="s">
        <v>400</v>
      </c>
      <c r="G2117" s="4" t="s">
        <v>245</v>
      </c>
    </row>
    <row r="2118" spans="1:7" hidden="1" x14ac:dyDescent="0.2">
      <c r="A2118" t="s">
        <v>60</v>
      </c>
      <c r="B2118" t="s">
        <v>85</v>
      </c>
      <c r="C2118" s="4">
        <f>(0.161885636831319/(0.139645918974656+0.161885636831319+0.336648016439843)) * 2.5208171706774%</f>
        <v>6.3945025939070067E-3</v>
      </c>
      <c r="D2118" t="s">
        <v>242</v>
      </c>
      <c r="E2118" t="s">
        <v>318</v>
      </c>
      <c r="F2118" t="s">
        <v>400</v>
      </c>
      <c r="G2118" s="4" t="s">
        <v>245</v>
      </c>
    </row>
    <row r="2119" spans="1:7" hidden="1" x14ac:dyDescent="0.2">
      <c r="A2119" t="s">
        <v>60</v>
      </c>
      <c r="B2119" t="s">
        <v>85</v>
      </c>
      <c r="C2119" s="4">
        <f>(0.336648016439843/(0.139645918974656+0.161885636831319+0.336648016439843)) * 2.5208171706774%</f>
        <v>1.3297638113511473E-2</v>
      </c>
      <c r="D2119" t="s">
        <v>242</v>
      </c>
      <c r="E2119" t="s">
        <v>290</v>
      </c>
      <c r="F2119" t="s">
        <v>400</v>
      </c>
      <c r="G2119" s="4" t="s">
        <v>245</v>
      </c>
    </row>
    <row r="2120" spans="1:7" hidden="1" x14ac:dyDescent="0.2">
      <c r="A2120" t="s">
        <v>60</v>
      </c>
      <c r="B2120" t="s">
        <v>116</v>
      </c>
      <c r="C2120" s="4">
        <f>(0.139645918974656/(0.139645918974656+0.161885636831319+0.336648016439843)) * 5.44731752118985%</f>
        <v>1.1919774531740923E-2</v>
      </c>
      <c r="D2120" t="s">
        <v>242</v>
      </c>
      <c r="E2120" t="s">
        <v>402</v>
      </c>
      <c r="F2120" t="s">
        <v>400</v>
      </c>
      <c r="G2120" s="4" t="s">
        <v>245</v>
      </c>
    </row>
    <row r="2121" spans="1:7" hidden="1" x14ac:dyDescent="0.2">
      <c r="A2121" t="s">
        <v>60</v>
      </c>
      <c r="B2121" t="s">
        <v>116</v>
      </c>
      <c r="C2121" s="4">
        <f>(0.161885636831319/(0.139645918974656+0.161885636831319+0.336648016439843)) * 5.44731752118985%</f>
        <v>1.3818092967735224E-2</v>
      </c>
      <c r="D2121" t="s">
        <v>242</v>
      </c>
      <c r="E2121" t="s">
        <v>318</v>
      </c>
      <c r="F2121" t="s">
        <v>400</v>
      </c>
      <c r="G2121" s="4" t="s">
        <v>245</v>
      </c>
    </row>
    <row r="2122" spans="1:7" hidden="1" x14ac:dyDescent="0.2">
      <c r="A2122" t="s">
        <v>60</v>
      </c>
      <c r="B2122" t="s">
        <v>116</v>
      </c>
      <c r="C2122" s="4">
        <f>(0.336648016439843/(0.139645918974656+0.161885636831319+0.336648016439843)) * 5.44731752118985%</f>
        <v>2.8735307712422359E-2</v>
      </c>
      <c r="D2122" t="s">
        <v>242</v>
      </c>
      <c r="E2122" t="s">
        <v>290</v>
      </c>
      <c r="F2122" t="s">
        <v>400</v>
      </c>
      <c r="G2122" s="4" t="s">
        <v>245</v>
      </c>
    </row>
    <row r="2123" spans="1:7" hidden="1" x14ac:dyDescent="0.2">
      <c r="A2123" t="s">
        <v>60</v>
      </c>
      <c r="B2123" t="s">
        <v>86</v>
      </c>
      <c r="C2123" s="4">
        <v>0.29673666432826618</v>
      </c>
      <c r="D2123" t="s">
        <v>254</v>
      </c>
      <c r="E2123" t="s">
        <v>401</v>
      </c>
      <c r="F2123" t="s">
        <v>400</v>
      </c>
      <c r="G2123" s="4" t="s">
        <v>245</v>
      </c>
    </row>
    <row r="2124" spans="1:7" hidden="1" x14ac:dyDescent="0.2">
      <c r="A2124" t="s">
        <v>60</v>
      </c>
      <c r="B2124" t="s">
        <v>87</v>
      </c>
      <c r="C2124" s="4">
        <f>(0.139645918974656/(0.139645918974656+0.161885636831319+0.336648016439843)) * 1.63948864224941%</f>
        <v>3.5875153021545213E-3</v>
      </c>
      <c r="D2124" t="s">
        <v>242</v>
      </c>
      <c r="E2124" t="s">
        <v>402</v>
      </c>
      <c r="F2124" t="s">
        <v>400</v>
      </c>
      <c r="G2124" s="4" t="s">
        <v>245</v>
      </c>
    </row>
    <row r="2125" spans="1:7" hidden="1" x14ac:dyDescent="0.2">
      <c r="A2125" t="s">
        <v>60</v>
      </c>
      <c r="B2125" t="s">
        <v>87</v>
      </c>
      <c r="C2125" s="4">
        <f>(0.161885636831319/(0.139645918974656+0.161885636831319+0.336648016439843)) * 1.63948864224941%</f>
        <v>4.158855508242877E-3</v>
      </c>
      <c r="D2125" t="s">
        <v>242</v>
      </c>
      <c r="E2125" t="s">
        <v>318</v>
      </c>
      <c r="F2125" t="s">
        <v>400</v>
      </c>
      <c r="G2125" s="4" t="s">
        <v>245</v>
      </c>
    </row>
    <row r="2126" spans="1:7" hidden="1" x14ac:dyDescent="0.2">
      <c r="A2126" t="s">
        <v>60</v>
      </c>
      <c r="B2126" t="s">
        <v>87</v>
      </c>
      <c r="C2126" s="4">
        <f>(0.336648016439843/(0.139645918974656+0.161885636831319+0.336648016439843)) * 1.63948864224941%</f>
        <v>8.6485156120967022E-3</v>
      </c>
      <c r="D2126" t="s">
        <v>242</v>
      </c>
      <c r="E2126" t="s">
        <v>290</v>
      </c>
      <c r="F2126" t="s">
        <v>400</v>
      </c>
      <c r="G2126" s="4" t="s">
        <v>245</v>
      </c>
    </row>
    <row r="2127" spans="1:7" hidden="1" x14ac:dyDescent="0.2">
      <c r="A2127" t="s">
        <v>60</v>
      </c>
      <c r="B2127" t="s">
        <v>160</v>
      </c>
      <c r="C2127" s="4">
        <f>(0.139645918974656/(0.139645918974656+0.161885636831319+0.336648016439843)) * 0.604203722637805%</f>
        <v>1.322113520474211E-3</v>
      </c>
      <c r="D2127" t="s">
        <v>242</v>
      </c>
      <c r="E2127" t="s">
        <v>402</v>
      </c>
      <c r="F2127" t="s">
        <v>400</v>
      </c>
      <c r="G2127" s="4" t="s">
        <v>245</v>
      </c>
    </row>
    <row r="2128" spans="1:7" hidden="1" x14ac:dyDescent="0.2">
      <c r="A2128" t="s">
        <v>60</v>
      </c>
      <c r="B2128" t="s">
        <v>160</v>
      </c>
      <c r="C2128" s="4">
        <f>(0.161885636831319/(0.139645918974656+0.161885636831319+0.336648016439843)) * 0.604203722637805%</f>
        <v>1.5326705627832116E-3</v>
      </c>
      <c r="D2128" t="s">
        <v>242</v>
      </c>
      <c r="E2128" t="s">
        <v>318</v>
      </c>
      <c r="F2128" t="s">
        <v>400</v>
      </c>
      <c r="G2128" s="4" t="s">
        <v>245</v>
      </c>
    </row>
    <row r="2129" spans="1:7" hidden="1" x14ac:dyDescent="0.2">
      <c r="A2129" t="s">
        <v>60</v>
      </c>
      <c r="B2129" t="s">
        <v>160</v>
      </c>
      <c r="C2129" s="4">
        <f>(0.336648016439843/(0.139645918974656+0.161885636831319+0.336648016439843)) * 0.604203722637805%</f>
        <v>3.1872531431206279E-3</v>
      </c>
      <c r="D2129" t="s">
        <v>242</v>
      </c>
      <c r="E2129" t="s">
        <v>290</v>
      </c>
      <c r="F2129" t="s">
        <v>400</v>
      </c>
      <c r="G2129" s="4" t="s">
        <v>245</v>
      </c>
    </row>
    <row r="2130" spans="1:7" hidden="1" x14ac:dyDescent="0.2">
      <c r="A2130" t="s">
        <v>60</v>
      </c>
      <c r="B2130" t="s">
        <v>166</v>
      </c>
      <c r="C2130" s="4">
        <f>(0.139645918974656/(0.139645918974656+0.161885636831319+0.336648016439843)) * 0.0018736918721145%</f>
        <v>4.0999968462793052E-6</v>
      </c>
      <c r="D2130" t="s">
        <v>242</v>
      </c>
      <c r="E2130" t="s">
        <v>402</v>
      </c>
      <c r="F2130" t="s">
        <v>400</v>
      </c>
      <c r="G2130" s="4" t="s">
        <v>245</v>
      </c>
    </row>
    <row r="2131" spans="1:7" hidden="1" x14ac:dyDescent="0.2">
      <c r="A2131" t="s">
        <v>60</v>
      </c>
      <c r="B2131" t="s">
        <v>166</v>
      </c>
      <c r="C2131" s="4">
        <f>(0.161885636831319/(0.139645918974656+0.161885636831319+0.336648016439843)) * 0.0018736918721145%</f>
        <v>4.7529537944233352E-6</v>
      </c>
      <c r="D2131" t="s">
        <v>242</v>
      </c>
      <c r="E2131" t="s">
        <v>318</v>
      </c>
      <c r="F2131" t="s">
        <v>400</v>
      </c>
      <c r="G2131" s="4" t="s">
        <v>245</v>
      </c>
    </row>
    <row r="2132" spans="1:7" hidden="1" x14ac:dyDescent="0.2">
      <c r="A2132" t="s">
        <v>60</v>
      </c>
      <c r="B2132" t="s">
        <v>166</v>
      </c>
      <c r="C2132" s="4">
        <f>(0.336648016439843/(0.139645918974656+0.161885636831319+0.336648016439843)) * 0.0018736918721145%</f>
        <v>9.8839680804423595E-6</v>
      </c>
      <c r="D2132" t="s">
        <v>242</v>
      </c>
      <c r="E2132" t="s">
        <v>290</v>
      </c>
      <c r="F2132" t="s">
        <v>400</v>
      </c>
      <c r="G2132" s="4" t="s">
        <v>245</v>
      </c>
    </row>
    <row r="2133" spans="1:7" hidden="1" x14ac:dyDescent="0.2">
      <c r="A2133" t="s">
        <v>60</v>
      </c>
      <c r="B2133" t="s">
        <v>89</v>
      </c>
      <c r="C2133" s="4">
        <f>(0.139645918974656/(0.139645918974656+0.161885636831319+0.336648016439843)) * 0.899479402554775%</f>
        <v>1.9682332877955767E-3</v>
      </c>
      <c r="D2133" t="s">
        <v>242</v>
      </c>
      <c r="E2133" t="s">
        <v>402</v>
      </c>
      <c r="F2133" t="s">
        <v>400</v>
      </c>
      <c r="G2133" s="4" t="s">
        <v>245</v>
      </c>
    </row>
    <row r="2134" spans="1:7" hidden="1" x14ac:dyDescent="0.2">
      <c r="A2134" t="s">
        <v>60</v>
      </c>
      <c r="B2134" t="s">
        <v>89</v>
      </c>
      <c r="C2134" s="4">
        <f>(0.161885636831319/(0.139645918974656+0.161885636831319+0.336648016439843)) * 0.899479402554775%</f>
        <v>2.281690016914958E-3</v>
      </c>
      <c r="D2134" t="s">
        <v>242</v>
      </c>
      <c r="E2134" t="s">
        <v>318</v>
      </c>
      <c r="F2134" t="s">
        <v>400</v>
      </c>
      <c r="G2134" s="4" t="s">
        <v>245</v>
      </c>
    </row>
    <row r="2135" spans="1:7" hidden="1" x14ac:dyDescent="0.2">
      <c r="A2135" t="s">
        <v>60</v>
      </c>
      <c r="B2135" t="s">
        <v>89</v>
      </c>
      <c r="C2135" s="4">
        <f>(0.336648016439843/(0.139645918974656+0.161885636831319+0.336648016439843)) * 0.899479402554775%</f>
        <v>4.7448707208372154E-3</v>
      </c>
      <c r="D2135" t="s">
        <v>242</v>
      </c>
      <c r="E2135" t="s">
        <v>290</v>
      </c>
      <c r="F2135" t="s">
        <v>400</v>
      </c>
      <c r="G2135" s="4" t="s">
        <v>245</v>
      </c>
    </row>
    <row r="2136" spans="1:7" hidden="1" x14ac:dyDescent="0.2">
      <c r="A2136" t="s">
        <v>60</v>
      </c>
      <c r="B2136" t="s">
        <v>154</v>
      </c>
      <c r="C2136" s="4">
        <f>(0.139645918974656/(0.139645918974656+0.161885636831319+0.336648016439843)) * 3.52753447985117%</f>
        <v>7.7189213753751556E-3</v>
      </c>
      <c r="D2136" t="s">
        <v>242</v>
      </c>
      <c r="E2136" t="s">
        <v>402</v>
      </c>
      <c r="F2136" t="s">
        <v>400</v>
      </c>
      <c r="G2136" s="4" t="s">
        <v>245</v>
      </c>
    </row>
    <row r="2137" spans="1:7" hidden="1" x14ac:dyDescent="0.2">
      <c r="A2137" t="s">
        <v>60</v>
      </c>
      <c r="B2137" t="s">
        <v>154</v>
      </c>
      <c r="C2137" s="4">
        <f>(0.161885636831319/(0.139645918974656+0.161885636831319+0.336648016439843)) * 3.52753447985117%</f>
        <v>8.9482206975935452E-3</v>
      </c>
      <c r="D2137" t="s">
        <v>242</v>
      </c>
      <c r="E2137" t="s">
        <v>318</v>
      </c>
      <c r="F2137" t="s">
        <v>400</v>
      </c>
      <c r="G2137" s="4" t="s">
        <v>245</v>
      </c>
    </row>
    <row r="2138" spans="1:7" hidden="1" x14ac:dyDescent="0.2">
      <c r="A2138" t="s">
        <v>60</v>
      </c>
      <c r="B2138" t="s">
        <v>154</v>
      </c>
      <c r="C2138" s="4">
        <f>(0.336648016439843/(0.139645918974656+0.161885636831319+0.336648016439843)) * 3.52753447985117%</f>
        <v>1.8608202725543001E-2</v>
      </c>
      <c r="D2138" t="s">
        <v>242</v>
      </c>
      <c r="E2138" t="s">
        <v>290</v>
      </c>
      <c r="F2138" t="s">
        <v>400</v>
      </c>
      <c r="G2138" s="4" t="s">
        <v>245</v>
      </c>
    </row>
    <row r="2139" spans="1:7" hidden="1" x14ac:dyDescent="0.2">
      <c r="A2139" t="s">
        <v>60</v>
      </c>
      <c r="B2139" t="s">
        <v>91</v>
      </c>
      <c r="C2139" s="4">
        <f>(0.139645918974656/(0.139645918974656+0.161885636831319+0.336648016439843)) * 0.235243252666358%</f>
        <v>5.1475731329938428E-4</v>
      </c>
      <c r="D2139" t="s">
        <v>242</v>
      </c>
      <c r="E2139" t="s">
        <v>402</v>
      </c>
      <c r="F2139" t="s">
        <v>400</v>
      </c>
      <c r="G2139" s="4" t="s">
        <v>245</v>
      </c>
    </row>
    <row r="2140" spans="1:7" hidden="1" x14ac:dyDescent="0.2">
      <c r="A2140" t="s">
        <v>60</v>
      </c>
      <c r="B2140" t="s">
        <v>91</v>
      </c>
      <c r="C2140" s="4">
        <f>(0.161885636831319/(0.139645918974656+0.161885636831319+0.336648016439843)) * 0.235243252666358%</f>
        <v>5.9673648960821644E-4</v>
      </c>
      <c r="D2140" t="s">
        <v>242</v>
      </c>
      <c r="E2140" t="s">
        <v>318</v>
      </c>
      <c r="F2140" t="s">
        <v>400</v>
      </c>
      <c r="G2140" s="4" t="s">
        <v>245</v>
      </c>
    </row>
    <row r="2141" spans="1:7" hidden="1" x14ac:dyDescent="0.2">
      <c r="A2141" t="s">
        <v>60</v>
      </c>
      <c r="B2141" t="s">
        <v>91</v>
      </c>
      <c r="C2141" s="4">
        <f>(0.336648016439843/(0.139645918974656+0.161885636831319+0.336648016439843)) * 0.235243252666358%</f>
        <v>1.2409387237559794E-3</v>
      </c>
      <c r="D2141" t="s">
        <v>242</v>
      </c>
      <c r="E2141" t="s">
        <v>290</v>
      </c>
      <c r="F2141" t="s">
        <v>400</v>
      </c>
      <c r="G2141" s="4" t="s">
        <v>245</v>
      </c>
    </row>
    <row r="2142" spans="1:7" hidden="1" x14ac:dyDescent="0.2">
      <c r="A2142" t="s">
        <v>60</v>
      </c>
      <c r="B2142" t="s">
        <v>93</v>
      </c>
      <c r="C2142" s="4">
        <f>(0.139645918974656/(0.139645918974656+0.161885636831319+0.336648016439843)) * 0.450404160289305%</f>
        <v>9.8557060753710814E-4</v>
      </c>
      <c r="D2142" t="s">
        <v>242</v>
      </c>
      <c r="E2142" t="s">
        <v>402</v>
      </c>
      <c r="F2142" t="s">
        <v>400</v>
      </c>
      <c r="G2142" s="4" t="s">
        <v>245</v>
      </c>
    </row>
    <row r="2143" spans="1:7" hidden="1" x14ac:dyDescent="0.2">
      <c r="A2143" t="s">
        <v>60</v>
      </c>
      <c r="B2143" t="s">
        <v>93</v>
      </c>
      <c r="C2143" s="4">
        <f>(0.161885636831319/(0.139645918974656+0.161885636831319+0.336648016439843)) * 0.450404160289305%</f>
        <v>1.1425305273140922E-3</v>
      </c>
      <c r="D2143" t="s">
        <v>242</v>
      </c>
      <c r="E2143" t="s">
        <v>318</v>
      </c>
      <c r="F2143" t="s">
        <v>400</v>
      </c>
      <c r="G2143" s="4" t="s">
        <v>245</v>
      </c>
    </row>
    <row r="2144" spans="1:7" hidden="1" x14ac:dyDescent="0.2">
      <c r="A2144" t="s">
        <v>60</v>
      </c>
      <c r="B2144" t="s">
        <v>93</v>
      </c>
      <c r="C2144" s="4">
        <f>(0.336648016439843/(0.139645918974656+0.161885636831319+0.336648016439843)) * 0.450404160289305%</f>
        <v>2.3759404680418496E-3</v>
      </c>
      <c r="D2144" t="s">
        <v>242</v>
      </c>
      <c r="E2144" t="s">
        <v>290</v>
      </c>
      <c r="F2144" t="s">
        <v>400</v>
      </c>
      <c r="G2144" s="4" t="s">
        <v>245</v>
      </c>
    </row>
    <row r="2145" spans="1:7" hidden="1" x14ac:dyDescent="0.2">
      <c r="A2145" t="s">
        <v>60</v>
      </c>
      <c r="B2145" t="s">
        <v>196</v>
      </c>
      <c r="C2145" s="4">
        <f>(0.139645918974656/(0.139645918974656+0.161885636831319+0.336648016439843)) * 0.744697596449527%</f>
        <v>1.6295410373046958E-3</v>
      </c>
      <c r="D2145" t="s">
        <v>242</v>
      </c>
      <c r="E2145" t="s">
        <v>402</v>
      </c>
      <c r="F2145" t="s">
        <v>400</v>
      </c>
      <c r="G2145" s="4" t="s">
        <v>245</v>
      </c>
    </row>
    <row r="2146" spans="1:7" hidden="1" x14ac:dyDescent="0.2">
      <c r="A2146" t="s">
        <v>60</v>
      </c>
      <c r="B2146" t="s">
        <v>196</v>
      </c>
      <c r="C2146" s="4">
        <f>(0.161885636831319/(0.139645918974656+0.161885636831319+0.336648016439843)) * 0.744697596449527%</f>
        <v>1.8890583448751923E-3</v>
      </c>
      <c r="D2146" t="s">
        <v>242</v>
      </c>
      <c r="E2146" t="s">
        <v>318</v>
      </c>
      <c r="F2146" t="s">
        <v>400</v>
      </c>
      <c r="G2146" s="4" t="s">
        <v>245</v>
      </c>
    </row>
    <row r="2147" spans="1:7" hidden="1" x14ac:dyDescent="0.2">
      <c r="A2147" t="s">
        <v>60</v>
      </c>
      <c r="B2147" t="s">
        <v>196</v>
      </c>
      <c r="C2147" s="4">
        <f>(0.336648016439843/(0.139645918974656+0.161885636831319+0.336648016439843)) * 0.744697596449527%</f>
        <v>3.9283765823153825E-3</v>
      </c>
      <c r="D2147" t="s">
        <v>242</v>
      </c>
      <c r="E2147" t="s">
        <v>290</v>
      </c>
      <c r="F2147" t="s">
        <v>400</v>
      </c>
      <c r="G2147" s="4" t="s">
        <v>245</v>
      </c>
    </row>
    <row r="2148" spans="1:7" hidden="1" x14ac:dyDescent="0.2">
      <c r="A2148" t="s">
        <v>60</v>
      </c>
      <c r="B2148" t="s">
        <v>97</v>
      </c>
      <c r="C2148" s="4">
        <f>(0.139645918974656/(0.139645918974656+0.161885636831319+0.336648016439843)) * 0.00206353730409086%</f>
        <v>4.5154150289419683E-6</v>
      </c>
      <c r="D2148" t="s">
        <v>242</v>
      </c>
      <c r="E2148" t="s">
        <v>402</v>
      </c>
      <c r="F2148" t="s">
        <v>400</v>
      </c>
      <c r="G2148" s="4" t="s">
        <v>245</v>
      </c>
    </row>
    <row r="2149" spans="1:7" hidden="1" x14ac:dyDescent="0.2">
      <c r="A2149" t="s">
        <v>60</v>
      </c>
      <c r="B2149" t="s">
        <v>97</v>
      </c>
      <c r="C2149" s="4">
        <f>(0.161885636831319/(0.139645918974656+0.161885636831319+0.336648016439843)) * 0.00206353730409086%</f>
        <v>5.2345306105983901E-6</v>
      </c>
      <c r="D2149" t="s">
        <v>242</v>
      </c>
      <c r="E2149" t="s">
        <v>318</v>
      </c>
      <c r="F2149" t="s">
        <v>400</v>
      </c>
      <c r="G2149" s="4" t="s">
        <v>245</v>
      </c>
    </row>
    <row r="2150" spans="1:7" hidden="1" x14ac:dyDescent="0.2">
      <c r="A2150" t="s">
        <v>60</v>
      </c>
      <c r="B2150" t="s">
        <v>97</v>
      </c>
      <c r="C2150" s="4">
        <f>(0.336648016439843/(0.139645918974656+0.161885636831319+0.336648016439843)) * 0.00206353730409086%</f>
        <v>1.0885427401368242E-5</v>
      </c>
      <c r="D2150" t="s">
        <v>242</v>
      </c>
      <c r="E2150" t="s">
        <v>290</v>
      </c>
      <c r="F2150" t="s">
        <v>400</v>
      </c>
      <c r="G2150" s="4" t="s">
        <v>245</v>
      </c>
    </row>
    <row r="2151" spans="1:7" hidden="1" x14ac:dyDescent="0.2">
      <c r="A2151" t="s">
        <v>60</v>
      </c>
      <c r="B2151" t="s">
        <v>98</v>
      </c>
      <c r="C2151" s="4">
        <f>(0.139645918974656/(0.139645918974656+0.161885636831319+0.336648016439843)) * 19.8784675577681%</f>
        <v>4.3497896056803827E-2</v>
      </c>
      <c r="D2151" t="s">
        <v>242</v>
      </c>
      <c r="E2151" t="s">
        <v>402</v>
      </c>
      <c r="F2151" t="s">
        <v>400</v>
      </c>
      <c r="G2151" s="4" t="s">
        <v>245</v>
      </c>
    </row>
    <row r="2152" spans="1:7" hidden="1" x14ac:dyDescent="0.2">
      <c r="A2152" t="s">
        <v>60</v>
      </c>
      <c r="B2152" t="s">
        <v>98</v>
      </c>
      <c r="C2152" s="4">
        <f>(0.161885636831319/(0.139645918974656+0.161885636831319+0.336648016439843)) * 19.8784675577681%</f>
        <v>5.0425280278016481E-2</v>
      </c>
      <c r="D2152" t="s">
        <v>242</v>
      </c>
      <c r="E2152" t="s">
        <v>318</v>
      </c>
      <c r="F2152" t="s">
        <v>400</v>
      </c>
      <c r="G2152" s="4" t="s">
        <v>245</v>
      </c>
    </row>
    <row r="2153" spans="1:7" hidden="1" x14ac:dyDescent="0.2">
      <c r="A2153" t="s">
        <v>60</v>
      </c>
      <c r="B2153" t="s">
        <v>98</v>
      </c>
      <c r="C2153" s="4">
        <f>(0.336648016439843/(0.139645918974656+0.161885636831319+0.336648016439843)) * 19.8784675577681%</f>
        <v>0.1048614992428607</v>
      </c>
      <c r="D2153" t="s">
        <v>242</v>
      </c>
      <c r="E2153" t="s">
        <v>290</v>
      </c>
      <c r="F2153" t="s">
        <v>400</v>
      </c>
      <c r="G2153" s="4" t="s">
        <v>245</v>
      </c>
    </row>
    <row r="2154" spans="1:7" hidden="1" x14ac:dyDescent="0.2">
      <c r="A2154" t="s">
        <v>60</v>
      </c>
      <c r="B2154" t="s">
        <v>119</v>
      </c>
      <c r="C2154" s="4">
        <f>(0.139645918974656/(0.139645918974656+0.161885636831319+0.336648016439843)) * 7.48790829045922%</f>
        <v>1.6384978145561058E-2</v>
      </c>
      <c r="D2154" t="s">
        <v>242</v>
      </c>
      <c r="E2154" t="s">
        <v>402</v>
      </c>
      <c r="F2154" t="s">
        <v>400</v>
      </c>
      <c r="G2154" s="4" t="s">
        <v>245</v>
      </c>
    </row>
    <row r="2155" spans="1:7" hidden="1" x14ac:dyDescent="0.2">
      <c r="A2155" t="s">
        <v>60</v>
      </c>
      <c r="B2155" t="s">
        <v>119</v>
      </c>
      <c r="C2155" s="4">
        <f>(0.161885636831319/(0.139645918974656+0.161885636831319+0.336648016439843)) * 7.48790829045922%</f>
        <v>1.8994415597943761E-2</v>
      </c>
      <c r="D2155" t="s">
        <v>242</v>
      </c>
      <c r="E2155" t="s">
        <v>318</v>
      </c>
      <c r="F2155" t="s">
        <v>400</v>
      </c>
      <c r="G2155" s="4" t="s">
        <v>245</v>
      </c>
    </row>
    <row r="2156" spans="1:7" hidden="1" x14ac:dyDescent="0.2">
      <c r="A2156" t="s">
        <v>60</v>
      </c>
      <c r="B2156" t="s">
        <v>119</v>
      </c>
      <c r="C2156" s="4">
        <f>(0.336648016439843/(0.139645918974656+0.161885636831319+0.336648016439843)) * 7.48790829045922%</f>
        <v>3.9499689161087391E-2</v>
      </c>
      <c r="D2156" t="s">
        <v>242</v>
      </c>
      <c r="E2156" t="s">
        <v>290</v>
      </c>
      <c r="F2156" t="s">
        <v>400</v>
      </c>
      <c r="G2156" s="4" t="s">
        <v>245</v>
      </c>
    </row>
    <row r="2157" spans="1:7" hidden="1" x14ac:dyDescent="0.2">
      <c r="A2157" t="s">
        <v>60</v>
      </c>
      <c r="B2157" t="s">
        <v>148</v>
      </c>
      <c r="C2157" s="4">
        <f>(0.139645918974656/(0.139645918974656+0.161885636831319+0.336648016439843)) * 1.82593336474863%</f>
        <v>3.9954920808494918E-3</v>
      </c>
      <c r="D2157" t="s">
        <v>242</v>
      </c>
      <c r="E2157" t="s">
        <v>402</v>
      </c>
      <c r="F2157" t="s">
        <v>400</v>
      </c>
      <c r="G2157" s="4" t="s">
        <v>245</v>
      </c>
    </row>
    <row r="2158" spans="1:7" hidden="1" x14ac:dyDescent="0.2">
      <c r="A2158" t="s">
        <v>60</v>
      </c>
      <c r="B2158" t="s">
        <v>148</v>
      </c>
      <c r="C2158" s="4">
        <f>(0.161885636831319/(0.139645918974656+0.161885636831319+0.336648016439843)) * 1.82593336474863%</f>
        <v>4.6318058179716688E-3</v>
      </c>
      <c r="D2158" t="s">
        <v>242</v>
      </c>
      <c r="E2158" t="s">
        <v>318</v>
      </c>
      <c r="F2158" t="s">
        <v>400</v>
      </c>
      <c r="G2158" s="4" t="s">
        <v>245</v>
      </c>
    </row>
    <row r="2159" spans="1:7" hidden="1" x14ac:dyDescent="0.2">
      <c r="A2159" t="s">
        <v>60</v>
      </c>
      <c r="B2159" t="s">
        <v>148</v>
      </c>
      <c r="C2159" s="4">
        <f>(0.336648016439843/(0.139645918974656+0.161885636831319+0.336648016439843)) * 1.82593336474863%</f>
        <v>9.6320357486651392E-3</v>
      </c>
      <c r="D2159" t="s">
        <v>242</v>
      </c>
      <c r="E2159" t="s">
        <v>290</v>
      </c>
      <c r="F2159" t="s">
        <v>400</v>
      </c>
      <c r="G2159" s="4" t="s">
        <v>245</v>
      </c>
    </row>
    <row r="2160" spans="1:7" hidden="1" x14ac:dyDescent="0.2">
      <c r="A2160" t="s">
        <v>60</v>
      </c>
      <c r="B2160" t="s">
        <v>230</v>
      </c>
      <c r="C2160" s="4">
        <f>(0.139645918974656/(0.139645918974656+0.161885636831319+0.336648016439843)) * 0.26660901968854%</f>
        <v>5.833916217393043E-4</v>
      </c>
      <c r="D2160" t="s">
        <v>242</v>
      </c>
      <c r="E2160" t="s">
        <v>402</v>
      </c>
      <c r="F2160" t="s">
        <v>400</v>
      </c>
      <c r="G2160" s="4" t="s">
        <v>245</v>
      </c>
    </row>
    <row r="2161" spans="1:7" hidden="1" x14ac:dyDescent="0.2">
      <c r="A2161" t="s">
        <v>60</v>
      </c>
      <c r="B2161" t="s">
        <v>230</v>
      </c>
      <c r="C2161" s="4">
        <f>(0.161885636831319/(0.139645918974656+0.161885636831319+0.336648016439843)) * 0.26660901968854%</f>
        <v>6.7630135488931425E-4</v>
      </c>
      <c r="D2161" t="s">
        <v>242</v>
      </c>
      <c r="E2161" t="s">
        <v>318</v>
      </c>
      <c r="F2161" t="s">
        <v>400</v>
      </c>
      <c r="G2161" s="4" t="s">
        <v>245</v>
      </c>
    </row>
    <row r="2162" spans="1:7" hidden="1" x14ac:dyDescent="0.2">
      <c r="A2162" t="s">
        <v>60</v>
      </c>
      <c r="B2162" t="s">
        <v>230</v>
      </c>
      <c r="C2162" s="4">
        <f>(0.336648016439843/(0.139645918974656+0.161885636831319+0.336648016439843)) * 0.26660901968854%</f>
        <v>1.4063972202567818E-3</v>
      </c>
      <c r="D2162" t="s">
        <v>242</v>
      </c>
      <c r="E2162" t="s">
        <v>290</v>
      </c>
      <c r="F2162" t="s">
        <v>400</v>
      </c>
      <c r="G2162" s="4" t="s">
        <v>245</v>
      </c>
    </row>
    <row r="2163" spans="1:7" hidden="1" x14ac:dyDescent="0.2">
      <c r="A2163" t="s">
        <v>60</v>
      </c>
      <c r="B2163" t="s">
        <v>141</v>
      </c>
      <c r="C2163" s="4">
        <f>(0.139645918974656/(0.139645918974656+0.161885636831319+0.336648016439843)) * 1.16867197094804%</f>
        <v>2.5572782091511231E-3</v>
      </c>
      <c r="D2163" t="s">
        <v>242</v>
      </c>
      <c r="E2163" t="s">
        <v>402</v>
      </c>
      <c r="F2163" t="s">
        <v>400</v>
      </c>
      <c r="G2163" s="4" t="s">
        <v>245</v>
      </c>
    </row>
    <row r="2164" spans="1:7" hidden="1" x14ac:dyDescent="0.2">
      <c r="A2164" t="s">
        <v>60</v>
      </c>
      <c r="B2164" t="s">
        <v>141</v>
      </c>
      <c r="C2164" s="4">
        <f>(0.161885636831319/(0.139645918974656+0.161885636831319+0.336648016439843)) * 1.16867197094804%</f>
        <v>2.9645450041287497E-3</v>
      </c>
      <c r="D2164" t="s">
        <v>242</v>
      </c>
      <c r="E2164" t="s">
        <v>318</v>
      </c>
      <c r="F2164" t="s">
        <v>400</v>
      </c>
      <c r="G2164" s="4" t="s">
        <v>245</v>
      </c>
    </row>
    <row r="2165" spans="1:7" hidden="1" x14ac:dyDescent="0.2">
      <c r="A2165" t="s">
        <v>60</v>
      </c>
      <c r="B2165" t="s">
        <v>141</v>
      </c>
      <c r="C2165" s="4">
        <f>(0.336648016439843/(0.139645918974656+0.161885636831319+0.336648016439843)) * 1.16867197094804%</f>
        <v>6.1648964962005273E-3</v>
      </c>
      <c r="D2165" t="s">
        <v>242</v>
      </c>
      <c r="E2165" t="s">
        <v>290</v>
      </c>
      <c r="F2165" t="s">
        <v>400</v>
      </c>
      <c r="G2165" s="4" t="s">
        <v>245</v>
      </c>
    </row>
    <row r="2166" spans="1:7" hidden="1" x14ac:dyDescent="0.2">
      <c r="A2166" t="s">
        <v>60</v>
      </c>
      <c r="B2166" t="s">
        <v>161</v>
      </c>
      <c r="C2166" s="4">
        <f>(0.139645918974656/(0.139645918974656+0.161885636831319+0.336648016439843)) * 0.000825414921636345%</f>
        <v>1.8061660115767894E-6</v>
      </c>
      <c r="D2166" t="s">
        <v>242</v>
      </c>
      <c r="E2166" t="s">
        <v>402</v>
      </c>
      <c r="F2166" t="s">
        <v>400</v>
      </c>
      <c r="G2166" s="4" t="s">
        <v>245</v>
      </c>
    </row>
    <row r="2167" spans="1:7" hidden="1" x14ac:dyDescent="0.2">
      <c r="A2167" t="s">
        <v>60</v>
      </c>
      <c r="B2167" t="s">
        <v>161</v>
      </c>
      <c r="C2167" s="4">
        <f>(0.161885636831319/(0.139645918974656+0.161885636831319+0.336648016439843)) * 0.000825414921636345%</f>
        <v>2.0938122442393585E-6</v>
      </c>
      <c r="D2167" t="s">
        <v>242</v>
      </c>
      <c r="E2167" t="s">
        <v>318</v>
      </c>
      <c r="F2167" t="s">
        <v>400</v>
      </c>
      <c r="G2167" s="4" t="s">
        <v>245</v>
      </c>
    </row>
    <row r="2168" spans="1:7" hidden="1" x14ac:dyDescent="0.2">
      <c r="A2168" t="s">
        <v>60</v>
      </c>
      <c r="B2168" t="s">
        <v>161</v>
      </c>
      <c r="C2168" s="4">
        <f>(0.336648016439843/(0.139645918974656+0.161885636831319+0.336648016439843)) * 0.000825414921636345%</f>
        <v>4.3541709605473022E-6</v>
      </c>
      <c r="D2168" t="s">
        <v>242</v>
      </c>
      <c r="E2168" t="s">
        <v>290</v>
      </c>
      <c r="F2168" t="s">
        <v>400</v>
      </c>
      <c r="G2168" s="4" t="s">
        <v>245</v>
      </c>
    </row>
    <row r="2169" spans="1:7" hidden="1" x14ac:dyDescent="0.2">
      <c r="A2169" t="s">
        <v>60</v>
      </c>
      <c r="B2169" t="s">
        <v>174</v>
      </c>
      <c r="C2169" s="4">
        <f>(0.139645918974656/(0.139645918974656+0.161885636831319+0.336648016439843)) * 0.755279415744905%</f>
        <v>1.6526960855731102E-3</v>
      </c>
      <c r="D2169" t="s">
        <v>242</v>
      </c>
      <c r="E2169" t="s">
        <v>402</v>
      </c>
      <c r="F2169" t="s">
        <v>400</v>
      </c>
      <c r="G2169" s="4" t="s">
        <v>245</v>
      </c>
    </row>
    <row r="2170" spans="1:7" hidden="1" x14ac:dyDescent="0.2">
      <c r="A2170" t="s">
        <v>60</v>
      </c>
      <c r="B2170" t="s">
        <v>174</v>
      </c>
      <c r="C2170" s="4">
        <f>(0.161885636831319/(0.139645918974656+0.161885636831319+0.336648016439843)) * 0.755279415744905%</f>
        <v>1.9159010178463407E-3</v>
      </c>
      <c r="D2170" t="s">
        <v>242</v>
      </c>
      <c r="E2170" t="s">
        <v>318</v>
      </c>
      <c r="F2170" t="s">
        <v>400</v>
      </c>
      <c r="G2170" s="4" t="s">
        <v>245</v>
      </c>
    </row>
    <row r="2171" spans="1:7" hidden="1" x14ac:dyDescent="0.2">
      <c r="A2171" t="s">
        <v>60</v>
      </c>
      <c r="B2171" t="s">
        <v>174</v>
      </c>
      <c r="C2171" s="4">
        <f>(0.336648016439843/(0.139645918974656+0.161885636831319+0.336648016439843)) * 0.755279415744905%</f>
        <v>3.9841970540295995E-3</v>
      </c>
      <c r="D2171" t="s">
        <v>242</v>
      </c>
      <c r="E2171" t="s">
        <v>290</v>
      </c>
      <c r="F2171" t="s">
        <v>400</v>
      </c>
      <c r="G2171" s="4" t="s">
        <v>245</v>
      </c>
    </row>
    <row r="2172" spans="1:7" hidden="1" x14ac:dyDescent="0.2">
      <c r="A2172" t="s">
        <v>60</v>
      </c>
      <c r="B2172" t="s">
        <v>162</v>
      </c>
      <c r="C2172" s="4">
        <f>(0.139645918974656/(0.139645918974656+0.161885636831319+0.336648016439843)) * 3.54092270988011%</f>
        <v>7.7482173880829277E-3</v>
      </c>
      <c r="D2172" t="s">
        <v>242</v>
      </c>
      <c r="E2172" t="s">
        <v>402</v>
      </c>
      <c r="F2172" t="s">
        <v>400</v>
      </c>
      <c r="G2172" s="4" t="s">
        <v>245</v>
      </c>
    </row>
    <row r="2173" spans="1:7" hidden="1" x14ac:dyDescent="0.2">
      <c r="A2173" t="s">
        <v>60</v>
      </c>
      <c r="B2173" t="s">
        <v>162</v>
      </c>
      <c r="C2173" s="4">
        <f>(0.161885636831319/(0.139645918974656+0.161885636831319+0.336648016439843)) * 3.54092270988011%</f>
        <v>8.982182332195103E-3</v>
      </c>
      <c r="D2173" t="s">
        <v>242</v>
      </c>
      <c r="E2173" t="s">
        <v>318</v>
      </c>
      <c r="F2173" t="s">
        <v>400</v>
      </c>
      <c r="G2173" s="4" t="s">
        <v>245</v>
      </c>
    </row>
    <row r="2174" spans="1:7" hidden="1" x14ac:dyDescent="0.2">
      <c r="A2174" t="s">
        <v>60</v>
      </c>
      <c r="B2174" t="s">
        <v>162</v>
      </c>
      <c r="C2174" s="4">
        <f>(0.336648016439843/(0.139645918974656+0.161885636831319+0.336648016439843)) * 3.54092270988011%</f>
        <v>1.8678827378523069E-2</v>
      </c>
      <c r="D2174" t="s">
        <v>242</v>
      </c>
      <c r="E2174" t="s">
        <v>290</v>
      </c>
      <c r="F2174" t="s">
        <v>400</v>
      </c>
      <c r="G2174" s="4" t="s">
        <v>245</v>
      </c>
    </row>
    <row r="2175" spans="1:7" hidden="1" x14ac:dyDescent="0.2">
      <c r="A2175" t="s">
        <v>60</v>
      </c>
      <c r="B2175" t="s">
        <v>176</v>
      </c>
      <c r="C2175" s="4">
        <f>(0.139645918974656/(0.139645918974656+0.161885636831319+0.336648016439843)) * 0.561282146712715%</f>
        <v>1.2281928878722177E-3</v>
      </c>
      <c r="D2175" t="s">
        <v>242</v>
      </c>
      <c r="E2175" t="s">
        <v>402</v>
      </c>
      <c r="F2175" t="s">
        <v>400</v>
      </c>
      <c r="G2175" s="4" t="s">
        <v>245</v>
      </c>
    </row>
    <row r="2176" spans="1:7" hidden="1" x14ac:dyDescent="0.2">
      <c r="A2176" t="s">
        <v>60</v>
      </c>
      <c r="B2176" t="s">
        <v>176</v>
      </c>
      <c r="C2176" s="4">
        <f>(0.161885636831319/(0.139645918974656+0.161885636831319+0.336648016439843)) * 0.561282146712715%</f>
        <v>1.4237923260827649E-3</v>
      </c>
      <c r="D2176" t="s">
        <v>242</v>
      </c>
      <c r="E2176" t="s">
        <v>318</v>
      </c>
      <c r="F2176" t="s">
        <v>400</v>
      </c>
      <c r="G2176" s="4" t="s">
        <v>245</v>
      </c>
    </row>
    <row r="2177" spans="1:7" hidden="1" x14ac:dyDescent="0.2">
      <c r="A2177" t="s">
        <v>60</v>
      </c>
      <c r="B2177" t="s">
        <v>176</v>
      </c>
      <c r="C2177" s="4">
        <f>(0.336648016439843/(0.139645918974656+0.161885636831319+0.336648016439843)) * 0.561282146712715%</f>
        <v>2.9608362531721678E-3</v>
      </c>
      <c r="D2177" t="s">
        <v>242</v>
      </c>
      <c r="E2177" t="s">
        <v>290</v>
      </c>
      <c r="F2177" t="s">
        <v>400</v>
      </c>
      <c r="G2177" s="4" t="s">
        <v>245</v>
      </c>
    </row>
    <row r="2178" spans="1:7" hidden="1" x14ac:dyDescent="0.2">
      <c r="A2178" t="s">
        <v>60</v>
      </c>
      <c r="B2178" t="s">
        <v>132</v>
      </c>
      <c r="C2178" s="4">
        <f>(0.139645918974656/(0.139645918974656+0.161885636831319+0.336648016439843)) * 3.72882016264141%</f>
        <v>8.1593730189582735E-3</v>
      </c>
      <c r="D2178" t="s">
        <v>242</v>
      </c>
      <c r="E2178" t="s">
        <v>402</v>
      </c>
      <c r="F2178" t="s">
        <v>400</v>
      </c>
      <c r="G2178" s="4" t="s">
        <v>245</v>
      </c>
    </row>
    <row r="2179" spans="1:7" hidden="1" x14ac:dyDescent="0.2">
      <c r="A2179" t="s">
        <v>60</v>
      </c>
      <c r="B2179" t="s">
        <v>132</v>
      </c>
      <c r="C2179" s="4">
        <f>(0.161885636831319/(0.139645918974656+0.161885636831319+0.336648016439843)) * 3.72882016264141%</f>
        <v>9.4588177514737578E-3</v>
      </c>
      <c r="D2179" t="s">
        <v>242</v>
      </c>
      <c r="E2179" t="s">
        <v>318</v>
      </c>
      <c r="F2179" t="s">
        <v>400</v>
      </c>
      <c r="G2179" s="4" t="s">
        <v>245</v>
      </c>
    </row>
    <row r="2180" spans="1:7" hidden="1" x14ac:dyDescent="0.2">
      <c r="A2180" t="s">
        <v>60</v>
      </c>
      <c r="B2180" t="s">
        <v>132</v>
      </c>
      <c r="C2180" s="4">
        <f>(0.336648016439843/(0.139645918974656+0.161885636831319+0.336648016439843)) * 3.72882016264141%</f>
        <v>1.9670010855982072E-2</v>
      </c>
      <c r="D2180" t="s">
        <v>242</v>
      </c>
      <c r="E2180" t="s">
        <v>290</v>
      </c>
      <c r="F2180" t="s">
        <v>400</v>
      </c>
      <c r="G2180" s="4" t="s">
        <v>245</v>
      </c>
    </row>
    <row r="2181" spans="1:7" hidden="1" x14ac:dyDescent="0.2">
      <c r="A2181" t="s">
        <v>60</v>
      </c>
      <c r="B2181" t="s">
        <v>151</v>
      </c>
      <c r="C2181" s="4">
        <f>(0.139645918974656/(0.139645918974656+0.161885636831319+0.336648016439843)) * 0.0292196882259266%</f>
        <v>6.3938276809818323E-5</v>
      </c>
      <c r="D2181" t="s">
        <v>242</v>
      </c>
      <c r="E2181" t="s">
        <v>402</v>
      </c>
      <c r="F2181" t="s">
        <v>400</v>
      </c>
      <c r="G2181" s="4" t="s">
        <v>245</v>
      </c>
    </row>
    <row r="2182" spans="1:7" hidden="1" x14ac:dyDescent="0.2">
      <c r="A2182" t="s">
        <v>60</v>
      </c>
      <c r="B2182" t="s">
        <v>151</v>
      </c>
      <c r="C2182" s="4">
        <f>(0.161885636831319/(0.139645918974656+0.161885636831319+0.336648016439843)) * 0.0292196882259266%</f>
        <v>7.4120953446073261E-5</v>
      </c>
      <c r="D2182" t="s">
        <v>242</v>
      </c>
      <c r="E2182" t="s">
        <v>318</v>
      </c>
      <c r="F2182" t="s">
        <v>400</v>
      </c>
      <c r="G2182" s="4" t="s">
        <v>245</v>
      </c>
    </row>
    <row r="2183" spans="1:7" hidden="1" x14ac:dyDescent="0.2">
      <c r="A2183" t="s">
        <v>60</v>
      </c>
      <c r="B2183" t="s">
        <v>151</v>
      </c>
      <c r="C2183" s="4">
        <f>(0.336648016439843/(0.139645918974656+0.161885636831319+0.336648016439843)) * 0.0292196882259266%</f>
        <v>1.5413765200337443E-4</v>
      </c>
      <c r="D2183" t="s">
        <v>242</v>
      </c>
      <c r="E2183" t="s">
        <v>290</v>
      </c>
      <c r="F2183" t="s">
        <v>400</v>
      </c>
      <c r="G2183" s="4" t="s">
        <v>245</v>
      </c>
    </row>
    <row r="2184" spans="1:7" hidden="1" x14ac:dyDescent="0.2">
      <c r="A2184" t="s">
        <v>60</v>
      </c>
      <c r="B2184" t="s">
        <v>107</v>
      </c>
      <c r="C2184" s="4">
        <v>6.8517692645033032E-2</v>
      </c>
      <c r="D2184" t="s">
        <v>313</v>
      </c>
      <c r="E2184" t="s">
        <v>337</v>
      </c>
      <c r="F2184" t="s">
        <v>400</v>
      </c>
      <c r="G2184" s="4" t="s">
        <v>245</v>
      </c>
    </row>
    <row r="2185" spans="1:7" hidden="1" x14ac:dyDescent="0.2">
      <c r="A2185" t="s">
        <v>60</v>
      </c>
      <c r="B2185" t="s">
        <v>137</v>
      </c>
      <c r="C2185" s="4">
        <v>1.557557957127784E-2</v>
      </c>
      <c r="D2185" t="s">
        <v>322</v>
      </c>
      <c r="E2185" t="s">
        <v>339</v>
      </c>
      <c r="F2185" t="s">
        <v>400</v>
      </c>
      <c r="G2185" s="4" t="s">
        <v>245</v>
      </c>
    </row>
    <row r="2186" spans="1:7" hidden="1" x14ac:dyDescent="0.2">
      <c r="A2186" t="s">
        <v>60</v>
      </c>
      <c r="B2186" t="s">
        <v>122</v>
      </c>
      <c r="C2186" s="4">
        <f>(0.139645918974656/(0.139645918974656+0.161885636831319+0.336648016439843)) * 0.625053703558339%</f>
        <v>1.3677372739266404E-3</v>
      </c>
      <c r="D2186" t="s">
        <v>242</v>
      </c>
      <c r="E2186" t="s">
        <v>402</v>
      </c>
      <c r="F2186" t="s">
        <v>400</v>
      </c>
      <c r="G2186" s="4" t="s">
        <v>245</v>
      </c>
    </row>
    <row r="2187" spans="1:7" hidden="1" x14ac:dyDescent="0.2">
      <c r="A2187" t="s">
        <v>60</v>
      </c>
      <c r="B2187" t="s">
        <v>122</v>
      </c>
      <c r="C2187" s="4">
        <f>(0.161885636831319/(0.139645918974656+0.161885636831319+0.336648016439843)) * 0.625053703558339%</f>
        <v>1.5855602600726975E-3</v>
      </c>
      <c r="D2187" t="s">
        <v>242</v>
      </c>
      <c r="E2187" t="s">
        <v>318</v>
      </c>
      <c r="F2187" t="s">
        <v>400</v>
      </c>
      <c r="G2187" s="4" t="s">
        <v>245</v>
      </c>
    </row>
    <row r="2188" spans="1:7" hidden="1" x14ac:dyDescent="0.2">
      <c r="A2188" t="s">
        <v>60</v>
      </c>
      <c r="B2188" t="s">
        <v>122</v>
      </c>
      <c r="C2188" s="4">
        <f>(0.336648016439843/(0.139645918974656+0.161885636831319+0.336648016439843)) * 0.625053703558339%</f>
        <v>3.2972395015840521E-3</v>
      </c>
      <c r="D2188" t="s">
        <v>242</v>
      </c>
      <c r="E2188" t="s">
        <v>290</v>
      </c>
      <c r="F2188" t="s">
        <v>400</v>
      </c>
      <c r="G2188" s="4" t="s">
        <v>245</v>
      </c>
    </row>
    <row r="2189" spans="1:7" hidden="1" x14ac:dyDescent="0.2">
      <c r="A2189" t="s">
        <v>60</v>
      </c>
      <c r="B2189" t="s">
        <v>140</v>
      </c>
      <c r="C2189" s="4">
        <f>(0.139645918974656/(0.139645918974656+0.161885636831319+0.336648016439843)) * 1.45362171019534%</f>
        <v>3.1808028396676643E-3</v>
      </c>
      <c r="D2189" t="s">
        <v>242</v>
      </c>
      <c r="E2189" t="s">
        <v>402</v>
      </c>
      <c r="F2189" t="s">
        <v>400</v>
      </c>
      <c r="G2189" s="4" t="s">
        <v>245</v>
      </c>
    </row>
    <row r="2190" spans="1:7" hidden="1" x14ac:dyDescent="0.2">
      <c r="A2190" t="s">
        <v>60</v>
      </c>
      <c r="B2190" t="s">
        <v>140</v>
      </c>
      <c r="C2190" s="4">
        <f>(0.161885636831319/(0.139645918974656+0.161885636831319+0.336648016439843)) * 1.45362171019534%</f>
        <v>3.6873708670850636E-3</v>
      </c>
      <c r="D2190" t="s">
        <v>242</v>
      </c>
      <c r="E2190" t="s">
        <v>318</v>
      </c>
      <c r="F2190" t="s">
        <v>400</v>
      </c>
      <c r="G2190" s="4" t="s">
        <v>245</v>
      </c>
    </row>
    <row r="2191" spans="1:7" hidden="1" x14ac:dyDescent="0.2">
      <c r="A2191" t="s">
        <v>60</v>
      </c>
      <c r="B2191" t="s">
        <v>140</v>
      </c>
      <c r="C2191" s="4">
        <f>(0.336648016439843/(0.139645918974656+0.161885636831319+0.336648016439843)) * 1.45362171019534%</f>
        <v>7.6680433952006719E-3</v>
      </c>
      <c r="D2191" t="s">
        <v>242</v>
      </c>
      <c r="E2191" t="s">
        <v>290</v>
      </c>
      <c r="F2191" t="s">
        <v>400</v>
      </c>
      <c r="G2191" s="4" t="s">
        <v>245</v>
      </c>
    </row>
    <row r="2192" spans="1:7" hidden="1" x14ac:dyDescent="0.2">
      <c r="A2192" t="s">
        <v>61</v>
      </c>
      <c r="B2192" t="s">
        <v>183</v>
      </c>
      <c r="C2192" s="4">
        <v>5.4091216230614577E-3</v>
      </c>
      <c r="D2192" t="s">
        <v>256</v>
      </c>
      <c r="E2192" t="s">
        <v>408</v>
      </c>
      <c r="F2192" t="s">
        <v>409</v>
      </c>
      <c r="G2192" s="4" t="s">
        <v>245</v>
      </c>
    </row>
    <row r="2193" spans="1:7" hidden="1" x14ac:dyDescent="0.2">
      <c r="A2193" t="s">
        <v>61</v>
      </c>
      <c r="B2193" t="s">
        <v>83</v>
      </c>
      <c r="C2193" s="4">
        <v>3.7626963919784552E-3</v>
      </c>
      <c r="D2193" t="s">
        <v>256</v>
      </c>
      <c r="E2193" t="s">
        <v>408</v>
      </c>
      <c r="F2193" t="s">
        <v>409</v>
      </c>
      <c r="G2193" s="4" t="s">
        <v>245</v>
      </c>
    </row>
    <row r="2194" spans="1:7" hidden="1" x14ac:dyDescent="0.2">
      <c r="A2194" t="s">
        <v>61</v>
      </c>
      <c r="B2194" t="s">
        <v>85</v>
      </c>
      <c r="C2194" s="4">
        <v>2.3759660780296971E-2</v>
      </c>
      <c r="D2194" t="s">
        <v>256</v>
      </c>
      <c r="E2194" t="s">
        <v>408</v>
      </c>
      <c r="F2194" t="s">
        <v>409</v>
      </c>
      <c r="G2194" s="4" t="s">
        <v>245</v>
      </c>
    </row>
    <row r="2195" spans="1:7" hidden="1" x14ac:dyDescent="0.2">
      <c r="A2195" t="s">
        <v>61</v>
      </c>
      <c r="B2195" t="s">
        <v>186</v>
      </c>
      <c r="C2195" s="4">
        <v>7.1980364967208426E-6</v>
      </c>
      <c r="D2195" t="s">
        <v>256</v>
      </c>
      <c r="E2195" t="s">
        <v>408</v>
      </c>
      <c r="F2195" t="s">
        <v>409</v>
      </c>
      <c r="G2195" s="4" t="s">
        <v>245</v>
      </c>
    </row>
    <row r="2196" spans="1:7" hidden="1" x14ac:dyDescent="0.2">
      <c r="A2196" t="s">
        <v>61</v>
      </c>
      <c r="B2196" t="s">
        <v>145</v>
      </c>
      <c r="C2196" s="4">
        <v>1.3938574338297469E-5</v>
      </c>
      <c r="D2196" t="s">
        <v>256</v>
      </c>
      <c r="E2196" t="s">
        <v>408</v>
      </c>
      <c r="F2196" t="s">
        <v>409</v>
      </c>
      <c r="G2196" s="4" t="s">
        <v>245</v>
      </c>
    </row>
    <row r="2197" spans="1:7" hidden="1" x14ac:dyDescent="0.2">
      <c r="A2197" t="s">
        <v>61</v>
      </c>
      <c r="B2197" t="s">
        <v>86</v>
      </c>
      <c r="C2197" s="4">
        <v>0.42098697608395602</v>
      </c>
      <c r="D2197" t="s">
        <v>256</v>
      </c>
      <c r="E2197" t="s">
        <v>408</v>
      </c>
      <c r="F2197" t="s">
        <v>409</v>
      </c>
      <c r="G2197" s="4" t="s">
        <v>245</v>
      </c>
    </row>
    <row r="2198" spans="1:7" hidden="1" x14ac:dyDescent="0.2">
      <c r="A2198" t="s">
        <v>61</v>
      </c>
      <c r="B2198" t="s">
        <v>233</v>
      </c>
      <c r="C2198" s="4">
        <v>2.3220867468094989E-3</v>
      </c>
      <c r="D2198" t="s">
        <v>256</v>
      </c>
      <c r="E2198" t="s">
        <v>408</v>
      </c>
      <c r="F2198" t="s">
        <v>409</v>
      </c>
      <c r="G2198" s="4" t="s">
        <v>245</v>
      </c>
    </row>
    <row r="2199" spans="1:7" hidden="1" x14ac:dyDescent="0.2">
      <c r="A2199" t="s">
        <v>61</v>
      </c>
      <c r="B2199" t="s">
        <v>87</v>
      </c>
      <c r="C2199" s="4">
        <v>2.5343436370402092E-4</v>
      </c>
      <c r="D2199" t="s">
        <v>256</v>
      </c>
      <c r="E2199" t="s">
        <v>408</v>
      </c>
      <c r="F2199" t="s">
        <v>409</v>
      </c>
      <c r="G2199" s="4" t="s">
        <v>245</v>
      </c>
    </row>
    <row r="2200" spans="1:7" hidden="1" x14ac:dyDescent="0.2">
      <c r="A2200" t="s">
        <v>61</v>
      </c>
      <c r="B2200" t="s">
        <v>160</v>
      </c>
      <c r="C2200" s="4">
        <v>2.5945103316307259E-6</v>
      </c>
      <c r="D2200" t="s">
        <v>256</v>
      </c>
      <c r="E2200" t="s">
        <v>408</v>
      </c>
      <c r="F2200" t="s">
        <v>409</v>
      </c>
      <c r="G2200" s="4" t="s">
        <v>245</v>
      </c>
    </row>
    <row r="2201" spans="1:7" hidden="1" x14ac:dyDescent="0.2">
      <c r="A2201" t="s">
        <v>61</v>
      </c>
      <c r="B2201" t="s">
        <v>128</v>
      </c>
      <c r="C2201" s="4">
        <v>1.2457973775713531E-2</v>
      </c>
      <c r="D2201" t="s">
        <v>256</v>
      </c>
      <c r="E2201" t="s">
        <v>408</v>
      </c>
      <c r="F2201" t="s">
        <v>409</v>
      </c>
      <c r="G2201" s="4" t="s">
        <v>245</v>
      </c>
    </row>
    <row r="2202" spans="1:7" hidden="1" x14ac:dyDescent="0.2">
      <c r="A2202" t="s">
        <v>61</v>
      </c>
      <c r="B2202" t="s">
        <v>154</v>
      </c>
      <c r="C2202" s="4">
        <v>4.2788534663737348E-3</v>
      </c>
      <c r="D2202" t="s">
        <v>335</v>
      </c>
      <c r="E2202" t="s">
        <v>408</v>
      </c>
      <c r="F2202" t="s">
        <v>409</v>
      </c>
      <c r="G2202" s="4" t="s">
        <v>245</v>
      </c>
    </row>
    <row r="2203" spans="1:7" hidden="1" x14ac:dyDescent="0.2">
      <c r="A2203" t="s">
        <v>61</v>
      </c>
      <c r="B2203" t="s">
        <v>97</v>
      </c>
      <c r="C2203" s="4">
        <v>6.1369146348814107E-3</v>
      </c>
      <c r="D2203" t="s">
        <v>256</v>
      </c>
      <c r="E2203" t="s">
        <v>408</v>
      </c>
      <c r="F2203" t="s">
        <v>409</v>
      </c>
      <c r="G2203" s="4" t="s">
        <v>245</v>
      </c>
    </row>
    <row r="2204" spans="1:7" hidden="1" x14ac:dyDescent="0.2">
      <c r="A2204" t="s">
        <v>61</v>
      </c>
      <c r="B2204" t="s">
        <v>99</v>
      </c>
      <c r="C2204" s="4">
        <v>3.9053088413772011E-4</v>
      </c>
      <c r="D2204" t="s">
        <v>256</v>
      </c>
      <c r="E2204" t="s">
        <v>408</v>
      </c>
      <c r="F2204" t="s">
        <v>409</v>
      </c>
      <c r="G2204" s="4" t="s">
        <v>245</v>
      </c>
    </row>
    <row r="2205" spans="1:7" hidden="1" x14ac:dyDescent="0.2">
      <c r="A2205" t="s">
        <v>61</v>
      </c>
      <c r="B2205" t="s">
        <v>234</v>
      </c>
      <c r="C2205" s="4">
        <v>8.7964278283608126E-4</v>
      </c>
      <c r="D2205" t="s">
        <v>256</v>
      </c>
      <c r="E2205" t="s">
        <v>408</v>
      </c>
      <c r="F2205" t="s">
        <v>409</v>
      </c>
      <c r="G2205" s="4" t="s">
        <v>245</v>
      </c>
    </row>
    <row r="2206" spans="1:7" hidden="1" x14ac:dyDescent="0.2">
      <c r="A2206" t="s">
        <v>61</v>
      </c>
      <c r="B2206" t="s">
        <v>222</v>
      </c>
      <c r="C2206" s="4">
        <v>1.105126486737444E-2</v>
      </c>
      <c r="D2206" t="s">
        <v>256</v>
      </c>
      <c r="E2206" t="s">
        <v>408</v>
      </c>
      <c r="F2206" t="s">
        <v>409</v>
      </c>
      <c r="G2206" s="4" t="s">
        <v>245</v>
      </c>
    </row>
    <row r="2207" spans="1:7" hidden="1" x14ac:dyDescent="0.2">
      <c r="A2207" t="s">
        <v>61</v>
      </c>
      <c r="B2207" t="s">
        <v>223</v>
      </c>
      <c r="C2207" s="4">
        <v>3.8819336005443739E-2</v>
      </c>
      <c r="D2207" t="s">
        <v>256</v>
      </c>
      <c r="E2207" t="s">
        <v>408</v>
      </c>
      <c r="F2207" t="s">
        <v>409</v>
      </c>
      <c r="G2207" s="4" t="s">
        <v>245</v>
      </c>
    </row>
    <row r="2208" spans="1:7" hidden="1" x14ac:dyDescent="0.2">
      <c r="A2208" t="s">
        <v>61</v>
      </c>
      <c r="B2208" t="s">
        <v>102</v>
      </c>
      <c r="C2208" s="4">
        <v>5.8877222955696059E-3</v>
      </c>
      <c r="D2208" t="s">
        <v>256</v>
      </c>
      <c r="E2208" t="s">
        <v>408</v>
      </c>
      <c r="F2208" t="s">
        <v>409</v>
      </c>
      <c r="G2208" s="4" t="s">
        <v>245</v>
      </c>
    </row>
    <row r="2209" spans="1:7" hidden="1" x14ac:dyDescent="0.2">
      <c r="A2209" t="s">
        <v>61</v>
      </c>
      <c r="B2209" t="s">
        <v>171</v>
      </c>
      <c r="C2209" s="4">
        <v>3.7695208189874208E-4</v>
      </c>
      <c r="D2209" t="s">
        <v>256</v>
      </c>
      <c r="E2209" t="s">
        <v>408</v>
      </c>
      <c r="F2209" t="s">
        <v>409</v>
      </c>
      <c r="G2209" s="4" t="s">
        <v>245</v>
      </c>
    </row>
    <row r="2210" spans="1:7" hidden="1" x14ac:dyDescent="0.2">
      <c r="A2210" t="s">
        <v>61</v>
      </c>
      <c r="B2210" t="s">
        <v>213</v>
      </c>
      <c r="C2210" s="4">
        <v>3.7594454705329222E-6</v>
      </c>
      <c r="D2210" t="s">
        <v>256</v>
      </c>
      <c r="E2210" t="s">
        <v>408</v>
      </c>
      <c r="F2210" t="s">
        <v>409</v>
      </c>
      <c r="G2210" s="4" t="s">
        <v>245</v>
      </c>
    </row>
    <row r="2211" spans="1:7" hidden="1" x14ac:dyDescent="0.2">
      <c r="A2211" t="s">
        <v>61</v>
      </c>
      <c r="B2211" t="s">
        <v>200</v>
      </c>
      <c r="C2211" s="4">
        <v>2.755369972191831E-4</v>
      </c>
      <c r="D2211" t="s">
        <v>256</v>
      </c>
      <c r="E2211" t="s">
        <v>408</v>
      </c>
      <c r="F2211" t="s">
        <v>409</v>
      </c>
      <c r="G2211" s="4" t="s">
        <v>245</v>
      </c>
    </row>
    <row r="2212" spans="1:7" hidden="1" x14ac:dyDescent="0.2">
      <c r="A2212" t="s">
        <v>61</v>
      </c>
      <c r="B2212" t="s">
        <v>150</v>
      </c>
      <c r="C2212" s="4">
        <v>4.0137645622600289E-3</v>
      </c>
      <c r="D2212" t="s">
        <v>256</v>
      </c>
      <c r="E2212" t="s">
        <v>408</v>
      </c>
      <c r="F2212" t="s">
        <v>409</v>
      </c>
      <c r="G2212" s="4" t="s">
        <v>245</v>
      </c>
    </row>
    <row r="2213" spans="1:7" hidden="1" x14ac:dyDescent="0.2">
      <c r="A2213" t="s">
        <v>61</v>
      </c>
      <c r="B2213" t="s">
        <v>161</v>
      </c>
      <c r="C2213" s="4">
        <v>0.15958141180438831</v>
      </c>
      <c r="D2213" t="s">
        <v>410</v>
      </c>
      <c r="E2213" t="s">
        <v>408</v>
      </c>
      <c r="F2213" t="s">
        <v>409</v>
      </c>
      <c r="G2213" s="4" t="s">
        <v>245</v>
      </c>
    </row>
    <row r="2214" spans="1:7" hidden="1" x14ac:dyDescent="0.2">
      <c r="A2214" t="s">
        <v>61</v>
      </c>
      <c r="B2214" t="s">
        <v>235</v>
      </c>
      <c r="C2214" s="4">
        <v>5.7292236594102847E-4</v>
      </c>
      <c r="D2214" t="s">
        <v>256</v>
      </c>
      <c r="E2214" t="s">
        <v>408</v>
      </c>
      <c r="F2214" t="s">
        <v>409</v>
      </c>
      <c r="G2214" s="4" t="s">
        <v>245</v>
      </c>
    </row>
    <row r="2215" spans="1:7" hidden="1" x14ac:dyDescent="0.2">
      <c r="A2215" t="s">
        <v>61</v>
      </c>
      <c r="B2215" t="s">
        <v>106</v>
      </c>
      <c r="C2215" s="4">
        <v>3.7565569156970392E-4</v>
      </c>
      <c r="D2215" t="s">
        <v>256</v>
      </c>
      <c r="E2215" t="s">
        <v>408</v>
      </c>
      <c r="F2215" t="s">
        <v>409</v>
      </c>
      <c r="G2215" s="4" t="s">
        <v>245</v>
      </c>
    </row>
    <row r="2216" spans="1:7" hidden="1" x14ac:dyDescent="0.2">
      <c r="A2216" t="s">
        <v>61</v>
      </c>
      <c r="B2216" t="s">
        <v>146</v>
      </c>
      <c r="C2216" s="4">
        <v>4.2567675242083727E-2</v>
      </c>
      <c r="D2216" t="s">
        <v>256</v>
      </c>
      <c r="E2216" t="s">
        <v>408</v>
      </c>
      <c r="F2216" t="s">
        <v>409</v>
      </c>
      <c r="G2216" s="4" t="s">
        <v>245</v>
      </c>
    </row>
    <row r="2217" spans="1:7" hidden="1" x14ac:dyDescent="0.2">
      <c r="A2217" t="s">
        <v>61</v>
      </c>
      <c r="B2217" t="s">
        <v>156</v>
      </c>
      <c r="C2217" s="4">
        <v>5.7944064073086207E-6</v>
      </c>
      <c r="D2217" t="s">
        <v>256</v>
      </c>
      <c r="E2217" t="s">
        <v>408</v>
      </c>
      <c r="F2217" t="s">
        <v>409</v>
      </c>
      <c r="G2217" s="4" t="s">
        <v>245</v>
      </c>
    </row>
    <row r="2218" spans="1:7" hidden="1" x14ac:dyDescent="0.2">
      <c r="A2218" t="s">
        <v>61</v>
      </c>
      <c r="B2218" t="s">
        <v>156</v>
      </c>
      <c r="C2218" s="4">
        <v>3.8009576358390131E-6</v>
      </c>
      <c r="D2218" t="s">
        <v>256</v>
      </c>
      <c r="E2218" t="s">
        <v>408</v>
      </c>
      <c r="F2218" t="s">
        <v>409</v>
      </c>
      <c r="G2218" s="4" t="s">
        <v>245</v>
      </c>
    </row>
    <row r="2219" spans="1:7" hidden="1" x14ac:dyDescent="0.2">
      <c r="A2219" t="s">
        <v>61</v>
      </c>
      <c r="B2219" t="s">
        <v>107</v>
      </c>
      <c r="C2219" s="4">
        <v>5.8981868205738502E-2</v>
      </c>
      <c r="D2219" t="s">
        <v>335</v>
      </c>
      <c r="E2219" t="s">
        <v>408</v>
      </c>
      <c r="F2219" t="s">
        <v>409</v>
      </c>
      <c r="G2219" s="4" t="s">
        <v>245</v>
      </c>
    </row>
    <row r="2220" spans="1:7" hidden="1" x14ac:dyDescent="0.2">
      <c r="A2220" t="s">
        <v>61</v>
      </c>
      <c r="B2220" t="s">
        <v>108</v>
      </c>
      <c r="C2220" s="4">
        <v>2.8850954887733669E-2</v>
      </c>
      <c r="D2220" t="s">
        <v>256</v>
      </c>
      <c r="E2220" t="s">
        <v>408</v>
      </c>
      <c r="F2220" t="s">
        <v>409</v>
      </c>
      <c r="G2220" s="4" t="s">
        <v>245</v>
      </c>
    </row>
    <row r="2221" spans="1:7" hidden="1" x14ac:dyDescent="0.2">
      <c r="A2221" t="s">
        <v>61</v>
      </c>
      <c r="B2221" t="s">
        <v>205</v>
      </c>
      <c r="C2221" s="4">
        <v>4.6602594576751104E-3</v>
      </c>
      <c r="D2221" t="s">
        <v>256</v>
      </c>
      <c r="E2221" t="s">
        <v>408</v>
      </c>
      <c r="F2221" t="s">
        <v>409</v>
      </c>
      <c r="G2221" s="4" t="s">
        <v>245</v>
      </c>
    </row>
    <row r="2222" spans="1:7" hidden="1" x14ac:dyDescent="0.2">
      <c r="A2222" t="s">
        <v>61</v>
      </c>
      <c r="B2222" t="s">
        <v>205</v>
      </c>
      <c r="C2222" s="4">
        <v>8.7313471312021867E-3</v>
      </c>
      <c r="D2222" t="s">
        <v>256</v>
      </c>
      <c r="E2222" t="s">
        <v>408</v>
      </c>
      <c r="F2222" t="s">
        <v>409</v>
      </c>
      <c r="G2222" s="4" t="s">
        <v>245</v>
      </c>
    </row>
    <row r="2223" spans="1:7" hidden="1" x14ac:dyDescent="0.2">
      <c r="A2223" t="s">
        <v>61</v>
      </c>
      <c r="B2223" t="s">
        <v>137</v>
      </c>
      <c r="C2223" s="4">
        <v>7.5040278562127083E-3</v>
      </c>
      <c r="D2223" t="s">
        <v>256</v>
      </c>
      <c r="E2223" t="s">
        <v>408</v>
      </c>
      <c r="F2223" t="s">
        <v>409</v>
      </c>
      <c r="G2223" s="4" t="s">
        <v>245</v>
      </c>
    </row>
    <row r="2224" spans="1:7" hidden="1" x14ac:dyDescent="0.2">
      <c r="A2224" t="s">
        <v>61</v>
      </c>
      <c r="B2224" t="s">
        <v>211</v>
      </c>
      <c r="C2224" s="4">
        <v>2.220234919557449E-4</v>
      </c>
      <c r="D2224" t="s">
        <v>256</v>
      </c>
      <c r="E2224" t="s">
        <v>408</v>
      </c>
      <c r="F2224" t="s">
        <v>409</v>
      </c>
      <c r="G2224" s="4" t="s">
        <v>245</v>
      </c>
    </row>
    <row r="2225" spans="1:8" hidden="1" x14ac:dyDescent="0.2">
      <c r="A2225" t="s">
        <v>61</v>
      </c>
      <c r="B2225" t="s">
        <v>229</v>
      </c>
      <c r="C2225" s="4">
        <v>5.9673737627506695E-4</v>
      </c>
      <c r="D2225" t="s">
        <v>256</v>
      </c>
      <c r="E2225" t="s">
        <v>408</v>
      </c>
      <c r="F2225" t="s">
        <v>409</v>
      </c>
      <c r="G2225" s="4" t="s">
        <v>245</v>
      </c>
    </row>
    <row r="2226" spans="1:8" hidden="1" x14ac:dyDescent="0.2">
      <c r="A2226" t="s">
        <v>61</v>
      </c>
      <c r="B2226" t="s">
        <v>111</v>
      </c>
      <c r="C2226" s="4">
        <v>4.6891450060339313E-5</v>
      </c>
      <c r="D2226" t="s">
        <v>256</v>
      </c>
      <c r="E2226" t="s">
        <v>408</v>
      </c>
      <c r="F2226" t="s">
        <v>409</v>
      </c>
      <c r="G2226" s="4" t="s">
        <v>245</v>
      </c>
    </row>
    <row r="2227" spans="1:8" hidden="1" x14ac:dyDescent="0.2">
      <c r="A2227" t="s">
        <v>61</v>
      </c>
      <c r="B2227" t="s">
        <v>215</v>
      </c>
      <c r="C2227" s="4">
        <v>6.9186942176819352E-6</v>
      </c>
      <c r="D2227" t="s">
        <v>256</v>
      </c>
      <c r="E2227" t="s">
        <v>408</v>
      </c>
      <c r="F2227" t="s">
        <v>409</v>
      </c>
      <c r="G2227" s="4" t="s">
        <v>245</v>
      </c>
    </row>
    <row r="2228" spans="1:8" hidden="1" x14ac:dyDescent="0.2">
      <c r="A2228" t="s">
        <v>61</v>
      </c>
      <c r="B2228" t="s">
        <v>209</v>
      </c>
      <c r="C2228" s="4">
        <v>4.4253118449207344E-3</v>
      </c>
      <c r="D2228" t="s">
        <v>256</v>
      </c>
      <c r="E2228" t="s">
        <v>408</v>
      </c>
      <c r="F2228" t="s">
        <v>409</v>
      </c>
      <c r="G2228" s="4" t="s">
        <v>245</v>
      </c>
    </row>
    <row r="2229" spans="1:8" hidden="1" x14ac:dyDescent="0.2">
      <c r="A2229" t="s">
        <v>61</v>
      </c>
      <c r="B2229" t="s">
        <v>216</v>
      </c>
      <c r="C2229" s="4">
        <v>1.578621162912943E-2</v>
      </c>
      <c r="D2229" t="s">
        <v>256</v>
      </c>
      <c r="E2229" t="s">
        <v>408</v>
      </c>
      <c r="F2229" t="s">
        <v>409</v>
      </c>
      <c r="G2229" s="4" t="s">
        <v>245</v>
      </c>
    </row>
    <row r="2230" spans="1:8" hidden="1" x14ac:dyDescent="0.2">
      <c r="A2230" t="s">
        <v>61</v>
      </c>
      <c r="B2230" t="s">
        <v>112</v>
      </c>
      <c r="C2230" s="4">
        <v>1.8552080719796589E-3</v>
      </c>
      <c r="D2230" t="s">
        <v>256</v>
      </c>
      <c r="E2230" t="s">
        <v>408</v>
      </c>
      <c r="F2230" t="s">
        <v>409</v>
      </c>
      <c r="G2230" s="4" t="s">
        <v>245</v>
      </c>
    </row>
    <row r="2231" spans="1:8" hidden="1" x14ac:dyDescent="0.2">
      <c r="A2231" t="s">
        <v>61</v>
      </c>
      <c r="B2231" t="s">
        <v>113</v>
      </c>
      <c r="C2231" s="4">
        <v>0.1059425052082546</v>
      </c>
      <c r="D2231" t="s">
        <v>277</v>
      </c>
      <c r="E2231" t="s">
        <v>408</v>
      </c>
      <c r="F2231" t="s">
        <v>409</v>
      </c>
      <c r="G2231" s="4" t="s">
        <v>245</v>
      </c>
    </row>
    <row r="2232" spans="1:8" hidden="1" x14ac:dyDescent="0.2">
      <c r="A2232" t="s">
        <v>61</v>
      </c>
      <c r="B2232" t="s">
        <v>180</v>
      </c>
      <c r="C2232" s="4">
        <v>2.7964497191093171E-3</v>
      </c>
      <c r="D2232" t="s">
        <v>256</v>
      </c>
      <c r="E2232" t="s">
        <v>408</v>
      </c>
      <c r="F2232" t="s">
        <v>409</v>
      </c>
      <c r="G2232" s="4" t="s">
        <v>245</v>
      </c>
    </row>
    <row r="2233" spans="1:8" hidden="1" x14ac:dyDescent="0.2">
      <c r="A2233" t="s">
        <v>61</v>
      </c>
      <c r="B2233" t="s">
        <v>114</v>
      </c>
      <c r="C2233" s="4">
        <v>2.5249082678008462E-4</v>
      </c>
      <c r="D2233" t="s">
        <v>256</v>
      </c>
      <c r="E2233" t="s">
        <v>408</v>
      </c>
      <c r="F2233" t="s">
        <v>409</v>
      </c>
      <c r="G2233" s="4" t="s">
        <v>245</v>
      </c>
    </row>
    <row r="2234" spans="1:8" hidden="1" x14ac:dyDescent="0.2">
      <c r="A2234" t="s">
        <v>61</v>
      </c>
      <c r="B2234" t="s">
        <v>115</v>
      </c>
      <c r="C2234" s="4">
        <v>1.5071195715855979E-2</v>
      </c>
      <c r="D2234" t="s">
        <v>256</v>
      </c>
      <c r="E2234" t="s">
        <v>408</v>
      </c>
      <c r="F2234" t="s">
        <v>409</v>
      </c>
      <c r="G2234" s="4" t="s">
        <v>245</v>
      </c>
    </row>
    <row r="2235" spans="1:8" hidden="1" x14ac:dyDescent="0.2">
      <c r="A2235" t="s">
        <v>61</v>
      </c>
      <c r="B2235" t="s">
        <v>158</v>
      </c>
      <c r="C2235" s="4">
        <v>7.237905472150236E-5</v>
      </c>
      <c r="D2235" t="s">
        <v>256</v>
      </c>
      <c r="E2235" t="s">
        <v>408</v>
      </c>
      <c r="F2235" t="s">
        <v>409</v>
      </c>
      <c r="G2235" s="4" t="s">
        <v>245</v>
      </c>
    </row>
    <row r="2236" spans="1:8" hidden="1" x14ac:dyDescent="0.2">
      <c r="A2236" t="s">
        <v>613</v>
      </c>
      <c r="B2236" t="s">
        <v>83</v>
      </c>
      <c r="C2236" s="4">
        <v>2.305455914062286E-3</v>
      </c>
      <c r="D2236" t="s">
        <v>322</v>
      </c>
      <c r="E2236" t="s">
        <v>339</v>
      </c>
      <c r="F2236" t="s">
        <v>414</v>
      </c>
      <c r="G2236" t="s">
        <v>245</v>
      </c>
      <c r="H2236" t="s">
        <v>415</v>
      </c>
    </row>
    <row r="2237" spans="1:8" hidden="1" x14ac:dyDescent="0.2">
      <c r="A2237" t="s">
        <v>613</v>
      </c>
      <c r="B2237" t="s">
        <v>116</v>
      </c>
      <c r="C2237" s="4">
        <v>7.2254198690341873E-2</v>
      </c>
      <c r="D2237" t="s">
        <v>313</v>
      </c>
      <c r="E2237" t="s">
        <v>337</v>
      </c>
      <c r="F2237" t="s">
        <v>414</v>
      </c>
      <c r="G2237" t="s">
        <v>245</v>
      </c>
    </row>
    <row r="2238" spans="1:8" x14ac:dyDescent="0.2">
      <c r="A2238" t="s">
        <v>614</v>
      </c>
      <c r="B2238" t="s">
        <v>116</v>
      </c>
      <c r="C2238" s="4">
        <v>3.9120701402355483E-2</v>
      </c>
      <c r="D2238" t="s">
        <v>313</v>
      </c>
      <c r="E2238" t="s">
        <v>337</v>
      </c>
      <c r="F2238" t="s">
        <v>416</v>
      </c>
      <c r="G2238" t="s">
        <v>245</v>
      </c>
    </row>
    <row r="2239" spans="1:8" hidden="1" x14ac:dyDescent="0.2">
      <c r="A2239" t="s">
        <v>613</v>
      </c>
      <c r="B2239" t="s">
        <v>86</v>
      </c>
      <c r="C2239" s="4">
        <v>5.47141640877781E-3</v>
      </c>
      <c r="D2239" t="s">
        <v>322</v>
      </c>
      <c r="E2239" t="s">
        <v>339</v>
      </c>
      <c r="F2239" t="s">
        <v>414</v>
      </c>
      <c r="G2239" t="s">
        <v>245</v>
      </c>
    </row>
    <row r="2240" spans="1:8" x14ac:dyDescent="0.2">
      <c r="A2240" t="s">
        <v>614</v>
      </c>
      <c r="B2240" t="s">
        <v>86</v>
      </c>
      <c r="C2240" s="4">
        <v>1.1698774342809651E-2</v>
      </c>
      <c r="D2240" t="s">
        <v>322</v>
      </c>
      <c r="E2240" t="s">
        <v>339</v>
      </c>
      <c r="F2240" t="s">
        <v>416</v>
      </c>
      <c r="G2240" t="s">
        <v>245</v>
      </c>
    </row>
    <row r="2241" spans="1:8" x14ac:dyDescent="0.2">
      <c r="A2241" t="s">
        <v>614</v>
      </c>
      <c r="B2241" t="s">
        <v>193</v>
      </c>
      <c r="C2241" s="4">
        <v>1.915791286378509E-3</v>
      </c>
      <c r="D2241" t="s">
        <v>322</v>
      </c>
      <c r="E2241" t="s">
        <v>339</v>
      </c>
      <c r="F2241" t="s">
        <v>416</v>
      </c>
      <c r="G2241" t="s">
        <v>245</v>
      </c>
    </row>
    <row r="2242" spans="1:8" hidden="1" x14ac:dyDescent="0.2">
      <c r="A2242" t="s">
        <v>613</v>
      </c>
      <c r="B2242" t="s">
        <v>154</v>
      </c>
      <c r="C2242" s="4">
        <v>3.955170861557414E-3</v>
      </c>
      <c r="D2242" t="s">
        <v>322</v>
      </c>
      <c r="E2242" t="s">
        <v>339</v>
      </c>
      <c r="F2242" t="s">
        <v>414</v>
      </c>
      <c r="G2242" t="s">
        <v>245</v>
      </c>
    </row>
    <row r="2243" spans="1:8" x14ac:dyDescent="0.2">
      <c r="A2243" t="s">
        <v>614</v>
      </c>
      <c r="B2243" t="s">
        <v>154</v>
      </c>
      <c r="C2243" s="4">
        <v>6.242465989323231E-3</v>
      </c>
      <c r="D2243" t="s">
        <v>322</v>
      </c>
      <c r="E2243" t="s">
        <v>339</v>
      </c>
      <c r="F2243" t="s">
        <v>416</v>
      </c>
      <c r="G2243" t="s">
        <v>245</v>
      </c>
    </row>
    <row r="2244" spans="1:8" hidden="1" x14ac:dyDescent="0.2">
      <c r="A2244" t="s">
        <v>613</v>
      </c>
      <c r="B2244" t="s">
        <v>151</v>
      </c>
      <c r="C2244" s="4">
        <v>2.901508701624596E-5</v>
      </c>
      <c r="D2244" t="s">
        <v>322</v>
      </c>
      <c r="E2244" t="s">
        <v>339</v>
      </c>
      <c r="F2244" t="s">
        <v>414</v>
      </c>
      <c r="G2244" t="s">
        <v>245</v>
      </c>
    </row>
    <row r="2245" spans="1:8" x14ac:dyDescent="0.2">
      <c r="A2245" t="s">
        <v>614</v>
      </c>
      <c r="B2245" t="s">
        <v>151</v>
      </c>
      <c r="C2245" s="4">
        <v>4.0243783739265212E-5</v>
      </c>
      <c r="D2245" t="s">
        <v>322</v>
      </c>
      <c r="E2245" t="s">
        <v>339</v>
      </c>
      <c r="F2245" t="s">
        <v>416</v>
      </c>
      <c r="G2245" t="s">
        <v>245</v>
      </c>
    </row>
    <row r="2246" spans="1:8" hidden="1" x14ac:dyDescent="0.2">
      <c r="A2246" t="s">
        <v>613</v>
      </c>
      <c r="B2246" t="s">
        <v>107</v>
      </c>
      <c r="C2246" s="4">
        <v>0.36517559516160991</v>
      </c>
      <c r="D2246" t="s">
        <v>313</v>
      </c>
      <c r="E2246" t="s">
        <v>337</v>
      </c>
      <c r="F2246" t="s">
        <v>414</v>
      </c>
      <c r="G2246" t="s">
        <v>245</v>
      </c>
    </row>
    <row r="2247" spans="1:8" x14ac:dyDescent="0.2">
      <c r="A2247" t="s">
        <v>614</v>
      </c>
      <c r="B2247" t="s">
        <v>107</v>
      </c>
      <c r="C2247" s="4">
        <v>0.1099684788224107</v>
      </c>
      <c r="D2247" t="s">
        <v>313</v>
      </c>
      <c r="E2247" t="s">
        <v>337</v>
      </c>
      <c r="F2247" t="s">
        <v>416</v>
      </c>
      <c r="G2247" t="s">
        <v>245</v>
      </c>
    </row>
    <row r="2248" spans="1:8" hidden="1" x14ac:dyDescent="0.2">
      <c r="A2248" t="s">
        <v>613</v>
      </c>
      <c r="B2248" t="s">
        <v>179</v>
      </c>
      <c r="C2248" s="4">
        <v>3.2579797706813323E-4</v>
      </c>
      <c r="D2248" t="s">
        <v>313</v>
      </c>
      <c r="E2248" t="s">
        <v>337</v>
      </c>
      <c r="F2248" t="s">
        <v>414</v>
      </c>
      <c r="G2248" t="s">
        <v>245</v>
      </c>
    </row>
    <row r="2249" spans="1:8" x14ac:dyDescent="0.2">
      <c r="A2249" t="s">
        <v>614</v>
      </c>
      <c r="B2249" t="s">
        <v>179</v>
      </c>
      <c r="C2249" s="4">
        <v>5.3346411003212008E-5</v>
      </c>
      <c r="D2249" t="s">
        <v>313</v>
      </c>
      <c r="E2249" t="s">
        <v>337</v>
      </c>
      <c r="F2249" t="s">
        <v>416</v>
      </c>
      <c r="G2249" t="s">
        <v>245</v>
      </c>
    </row>
    <row r="2250" spans="1:8" hidden="1" x14ac:dyDescent="0.2">
      <c r="A2250" t="s">
        <v>613</v>
      </c>
      <c r="B2250" t="s">
        <v>137</v>
      </c>
      <c r="C2250" s="4">
        <v>0.43378674242644061</v>
      </c>
      <c r="D2250" t="s">
        <v>322</v>
      </c>
      <c r="E2250" t="s">
        <v>339</v>
      </c>
      <c r="F2250" t="s">
        <v>414</v>
      </c>
      <c r="G2250" t="s">
        <v>245</v>
      </c>
    </row>
    <row r="2251" spans="1:8" x14ac:dyDescent="0.2">
      <c r="A2251" t="s">
        <v>614</v>
      </c>
      <c r="B2251" t="s">
        <v>137</v>
      </c>
      <c r="C2251" s="4">
        <v>0.73573545046832534</v>
      </c>
      <c r="D2251" t="s">
        <v>322</v>
      </c>
      <c r="E2251" t="s">
        <v>339</v>
      </c>
      <c r="F2251" t="s">
        <v>416</v>
      </c>
      <c r="G2251" t="s">
        <v>245</v>
      </c>
    </row>
    <row r="2252" spans="1:8" hidden="1" x14ac:dyDescent="0.2">
      <c r="A2252" t="s">
        <v>613</v>
      </c>
      <c r="B2252" t="s">
        <v>113</v>
      </c>
      <c r="C2252" s="4">
        <v>5.972962912915776E-2</v>
      </c>
      <c r="D2252" t="s">
        <v>313</v>
      </c>
      <c r="E2252" t="s">
        <v>337</v>
      </c>
      <c r="F2252" t="s">
        <v>414</v>
      </c>
      <c r="G2252" t="s">
        <v>245</v>
      </c>
    </row>
    <row r="2253" spans="1:8" x14ac:dyDescent="0.2">
      <c r="A2253" t="s">
        <v>614</v>
      </c>
      <c r="B2253" t="s">
        <v>113</v>
      </c>
      <c r="C2253" s="4">
        <v>2.0159327947529591E-2</v>
      </c>
      <c r="D2253" t="s">
        <v>313</v>
      </c>
      <c r="E2253" t="s">
        <v>337</v>
      </c>
      <c r="F2253" t="s">
        <v>416</v>
      </c>
      <c r="G2253" t="s">
        <v>245</v>
      </c>
    </row>
    <row r="2254" spans="1:8" hidden="1" x14ac:dyDescent="0.2">
      <c r="A2254" t="s">
        <v>613</v>
      </c>
      <c r="B2254" t="s">
        <v>158</v>
      </c>
      <c r="C2254" s="4">
        <v>5.6966978343968057E-2</v>
      </c>
      <c r="D2254" t="s">
        <v>322</v>
      </c>
      <c r="E2254" t="s">
        <v>339</v>
      </c>
      <c r="F2254" t="s">
        <v>414</v>
      </c>
      <c r="G2254" t="s">
        <v>245</v>
      </c>
    </row>
    <row r="2255" spans="1:8" hidden="1" x14ac:dyDescent="0.2">
      <c r="A2255" t="s">
        <v>417</v>
      </c>
      <c r="D2255" t="s">
        <v>322</v>
      </c>
      <c r="E2255" t="s">
        <v>419</v>
      </c>
      <c r="F2255" t="s">
        <v>417</v>
      </c>
      <c r="G2255" t="s">
        <v>245</v>
      </c>
      <c r="H2255" t="s">
        <v>420</v>
      </c>
    </row>
    <row r="2256" spans="1:8" hidden="1" x14ac:dyDescent="0.2">
      <c r="A2256" t="s">
        <v>417</v>
      </c>
      <c r="D2256" t="s">
        <v>322</v>
      </c>
      <c r="E2256" t="s">
        <v>418</v>
      </c>
      <c r="F2256" t="s">
        <v>417</v>
      </c>
      <c r="G2256" t="s">
        <v>245</v>
      </c>
    </row>
    <row r="2257" spans="1:8" x14ac:dyDescent="0.2">
      <c r="A2257" t="s">
        <v>614</v>
      </c>
      <c r="B2257" t="s">
        <v>158</v>
      </c>
      <c r="C2257" s="4">
        <v>7.5065419546124987E-2</v>
      </c>
      <c r="D2257" t="s">
        <v>322</v>
      </c>
      <c r="E2257" t="s">
        <v>339</v>
      </c>
      <c r="F2257" t="s">
        <v>416</v>
      </c>
      <c r="G2257" t="s">
        <v>245</v>
      </c>
    </row>
    <row r="2258" spans="1:8" hidden="1" x14ac:dyDescent="0.2">
      <c r="A2258" t="s">
        <v>65</v>
      </c>
      <c r="B2258" t="s">
        <v>83</v>
      </c>
      <c r="C2258" s="4">
        <v>6.9570179147803057E-2</v>
      </c>
      <c r="D2258" t="s">
        <v>254</v>
      </c>
      <c r="E2258" t="s">
        <v>446</v>
      </c>
      <c r="F2258" t="s">
        <v>444</v>
      </c>
      <c r="G2258" t="s">
        <v>245</v>
      </c>
      <c r="H2258" t="s">
        <v>445</v>
      </c>
    </row>
    <row r="2259" spans="1:8" hidden="1" x14ac:dyDescent="0.2">
      <c r="A2259" t="s">
        <v>65</v>
      </c>
      <c r="B2259" t="s">
        <v>187</v>
      </c>
      <c r="C2259" s="4">
        <v>8.6529058253647685E-4</v>
      </c>
      <c r="D2259" t="s">
        <v>254</v>
      </c>
      <c r="E2259" t="s">
        <v>446</v>
      </c>
      <c r="F2259" t="s">
        <v>444</v>
      </c>
      <c r="G2259" t="s">
        <v>245</v>
      </c>
    </row>
    <row r="2260" spans="1:8" hidden="1" x14ac:dyDescent="0.2">
      <c r="A2260" t="s">
        <v>65</v>
      </c>
      <c r="B2260" t="s">
        <v>86</v>
      </c>
      <c r="C2260" s="4">
        <v>0.70202820847299074</v>
      </c>
      <c r="D2260" t="s">
        <v>254</v>
      </c>
      <c r="E2260" t="s">
        <v>446</v>
      </c>
      <c r="F2260" t="s">
        <v>444</v>
      </c>
      <c r="G2260" t="s">
        <v>245</v>
      </c>
    </row>
    <row r="2261" spans="1:8" hidden="1" x14ac:dyDescent="0.2">
      <c r="A2261" t="s">
        <v>65</v>
      </c>
      <c r="B2261" t="s">
        <v>97</v>
      </c>
      <c r="C2261" s="4">
        <v>1.5949917634132289E-2</v>
      </c>
      <c r="D2261" t="s">
        <v>254</v>
      </c>
      <c r="E2261" t="s">
        <v>446</v>
      </c>
      <c r="F2261" t="s">
        <v>444</v>
      </c>
      <c r="G2261" t="s">
        <v>245</v>
      </c>
    </row>
    <row r="2262" spans="1:8" hidden="1" x14ac:dyDescent="0.2">
      <c r="A2262" t="s">
        <v>65</v>
      </c>
      <c r="B2262" t="s">
        <v>141</v>
      </c>
      <c r="C2262" s="4">
        <v>9.3875865086504567E-3</v>
      </c>
      <c r="D2262" t="s">
        <v>254</v>
      </c>
      <c r="E2262" t="s">
        <v>446</v>
      </c>
      <c r="F2262" t="s">
        <v>444</v>
      </c>
      <c r="G2262" t="s">
        <v>245</v>
      </c>
    </row>
    <row r="2263" spans="1:8" hidden="1" x14ac:dyDescent="0.2">
      <c r="A2263" t="s">
        <v>65</v>
      </c>
      <c r="B2263" t="s">
        <v>103</v>
      </c>
      <c r="C2263" s="4">
        <v>1.0799806044299611E-3</v>
      </c>
      <c r="D2263" t="s">
        <v>254</v>
      </c>
      <c r="E2263" t="s">
        <v>446</v>
      </c>
      <c r="F2263" t="s">
        <v>444</v>
      </c>
      <c r="G2263" t="s">
        <v>245</v>
      </c>
    </row>
    <row r="2264" spans="1:8" hidden="1" x14ac:dyDescent="0.2">
      <c r="A2264" t="s">
        <v>65</v>
      </c>
      <c r="B2264" t="s">
        <v>174</v>
      </c>
      <c r="C2264" s="4">
        <v>0.1257120280288844</v>
      </c>
      <c r="D2264" t="s">
        <v>254</v>
      </c>
      <c r="E2264" t="s">
        <v>446</v>
      </c>
      <c r="F2264" t="s">
        <v>444</v>
      </c>
      <c r="G2264" t="s">
        <v>245</v>
      </c>
    </row>
    <row r="2265" spans="1:8" hidden="1" x14ac:dyDescent="0.2">
      <c r="A2265" t="s">
        <v>65</v>
      </c>
      <c r="B2265" t="s">
        <v>107</v>
      </c>
      <c r="C2265" s="4">
        <v>1.0330426718867089E-2</v>
      </c>
      <c r="D2265" t="s">
        <v>254</v>
      </c>
      <c r="E2265" t="s">
        <v>446</v>
      </c>
      <c r="F2265" t="s">
        <v>444</v>
      </c>
      <c r="G2265" t="s">
        <v>245</v>
      </c>
    </row>
    <row r="2266" spans="1:8" hidden="1" x14ac:dyDescent="0.2">
      <c r="A2266" t="s">
        <v>65</v>
      </c>
      <c r="B2266" t="s">
        <v>113</v>
      </c>
      <c r="C2266" s="4">
        <v>6.2202964518188242E-2</v>
      </c>
      <c r="D2266" t="s">
        <v>254</v>
      </c>
      <c r="E2266" t="s">
        <v>446</v>
      </c>
      <c r="F2266" t="s">
        <v>444</v>
      </c>
      <c r="G2266" t="s">
        <v>245</v>
      </c>
    </row>
    <row r="2267" spans="1:8" hidden="1" x14ac:dyDescent="0.2">
      <c r="A2267" t="s">
        <v>65</v>
      </c>
      <c r="B2267" t="s">
        <v>115</v>
      </c>
      <c r="C2267" s="4">
        <v>2.873417783517357E-3</v>
      </c>
      <c r="D2267" t="s">
        <v>254</v>
      </c>
      <c r="E2267" t="s">
        <v>446</v>
      </c>
      <c r="F2267" t="s">
        <v>444</v>
      </c>
      <c r="G2267" t="s">
        <v>245</v>
      </c>
    </row>
    <row r="2268" spans="1:8" hidden="1" x14ac:dyDescent="0.2">
      <c r="A2268" t="s">
        <v>66</v>
      </c>
      <c r="B2268" t="s">
        <v>145</v>
      </c>
      <c r="C2268" s="4">
        <v>0.54580152671755722</v>
      </c>
      <c r="D2268" t="s">
        <v>312</v>
      </c>
      <c r="E2268" t="s">
        <v>307</v>
      </c>
      <c r="F2268" t="s">
        <v>384</v>
      </c>
      <c r="G2268" t="s">
        <v>245</v>
      </c>
      <c r="H2268" t="s">
        <v>389</v>
      </c>
    </row>
    <row r="2269" spans="1:8" hidden="1" x14ac:dyDescent="0.2">
      <c r="A2269" t="s">
        <v>66</v>
      </c>
      <c r="B2269" t="s">
        <v>86</v>
      </c>
      <c r="C2269" s="4">
        <v>5.7251908396946563E-2</v>
      </c>
      <c r="D2269" t="s">
        <v>254</v>
      </c>
      <c r="E2269" t="s">
        <v>307</v>
      </c>
      <c r="F2269" t="s">
        <v>384</v>
      </c>
      <c r="G2269" t="s">
        <v>245</v>
      </c>
    </row>
    <row r="2270" spans="1:8" hidden="1" x14ac:dyDescent="0.2">
      <c r="A2270" t="s">
        <v>66</v>
      </c>
      <c r="B2270" t="s">
        <v>102</v>
      </c>
      <c r="C2270" s="4">
        <v>1.9083969465648859E-2</v>
      </c>
      <c r="D2270" t="s">
        <v>254</v>
      </c>
      <c r="E2270" t="s">
        <v>307</v>
      </c>
      <c r="F2270" t="s">
        <v>384</v>
      </c>
      <c r="G2270" t="s">
        <v>245</v>
      </c>
    </row>
    <row r="2271" spans="1:8" hidden="1" x14ac:dyDescent="0.2">
      <c r="A2271" t="s">
        <v>66</v>
      </c>
      <c r="B2271" t="s">
        <v>151</v>
      </c>
      <c r="C2271" s="4">
        <v>0.1793893129770992</v>
      </c>
      <c r="D2271" t="s">
        <v>254</v>
      </c>
      <c r="E2271" t="s">
        <v>307</v>
      </c>
      <c r="F2271" t="s">
        <v>384</v>
      </c>
      <c r="G2271" t="s">
        <v>245</v>
      </c>
    </row>
    <row r="2272" spans="1:8" hidden="1" x14ac:dyDescent="0.2">
      <c r="A2272" t="s">
        <v>66</v>
      </c>
      <c r="B2272" t="s">
        <v>107</v>
      </c>
      <c r="C2272" s="4">
        <v>3.8167938931297711E-2</v>
      </c>
      <c r="D2272" t="s">
        <v>254</v>
      </c>
      <c r="E2272" t="s">
        <v>307</v>
      </c>
      <c r="F2272" t="s">
        <v>384</v>
      </c>
      <c r="G2272" t="s">
        <v>245</v>
      </c>
    </row>
    <row r="2273" spans="1:8" hidden="1" x14ac:dyDescent="0.2">
      <c r="A2273" t="s">
        <v>66</v>
      </c>
      <c r="B2273" t="s">
        <v>113</v>
      </c>
      <c r="C2273" s="4">
        <v>0.1603053435114504</v>
      </c>
      <c r="D2273" t="s">
        <v>277</v>
      </c>
      <c r="E2273" t="s">
        <v>307</v>
      </c>
      <c r="F2273" t="s">
        <v>384</v>
      </c>
      <c r="G2273" t="s">
        <v>245</v>
      </c>
    </row>
    <row r="2274" spans="1:8" ht="16" hidden="1" x14ac:dyDescent="0.2">
      <c r="A2274" t="s">
        <v>67</v>
      </c>
      <c r="B2274" t="s">
        <v>164</v>
      </c>
      <c r="C2274" s="4">
        <f>(0.501285425540793/(0.501285425540793+0.247997156571988+0.247997156571988)) * 0.563443768311922%</f>
        <v>2.8321657225187889E-3</v>
      </c>
      <c r="D2274" t="s">
        <v>242</v>
      </c>
      <c r="E2274" t="s">
        <v>371</v>
      </c>
      <c r="F2274" t="s">
        <v>413</v>
      </c>
      <c r="G2274" t="s">
        <v>245</v>
      </c>
      <c r="H2274" s="5" t="s">
        <v>411</v>
      </c>
    </row>
    <row r="2275" spans="1:8" hidden="1" x14ac:dyDescent="0.2">
      <c r="A2275" t="s">
        <v>67</v>
      </c>
      <c r="B2275" t="s">
        <v>164</v>
      </c>
      <c r="C2275" s="4">
        <f>((0.247997156571988+0.247997156571988)/(0.501285425540793+0.247997156571988+0.247997156571988)) * 0.563443768311922%</f>
        <v>2.8022719606004306E-3</v>
      </c>
      <c r="D2275" t="s">
        <v>256</v>
      </c>
      <c r="E2275" t="s">
        <v>412</v>
      </c>
      <c r="F2275" t="s">
        <v>413</v>
      </c>
      <c r="G2275" t="s">
        <v>245</v>
      </c>
    </row>
    <row r="2276" spans="1:8" hidden="1" x14ac:dyDescent="0.2">
      <c r="A2276" t="s">
        <v>67</v>
      </c>
      <c r="B2276" t="s">
        <v>163</v>
      </c>
      <c r="C2276" s="4">
        <f>(0.501285425540793/(0.501285425540793+0.247997156571988+0.247997156571988)) * 5.63443768311922%</f>
        <v>2.8321657225187889E-2</v>
      </c>
      <c r="D2276" t="s">
        <v>242</v>
      </c>
      <c r="E2276" t="s">
        <v>371</v>
      </c>
      <c r="F2276" t="s">
        <v>413</v>
      </c>
      <c r="G2276" t="s">
        <v>245</v>
      </c>
    </row>
    <row r="2277" spans="1:8" hidden="1" x14ac:dyDescent="0.2">
      <c r="A2277" t="s">
        <v>67</v>
      </c>
      <c r="B2277" t="s">
        <v>163</v>
      </c>
      <c r="C2277" s="4">
        <f>((0.247997156571988+0.247997156571988)/(0.501285425540793+0.247997156571988+0.247997156571988)) * 5.63443768311922%</f>
        <v>2.8022719606004304E-2</v>
      </c>
      <c r="D2277" t="s">
        <v>335</v>
      </c>
      <c r="E2277" t="s">
        <v>412</v>
      </c>
      <c r="F2277" t="s">
        <v>413</v>
      </c>
      <c r="G2277" t="s">
        <v>245</v>
      </c>
    </row>
    <row r="2278" spans="1:8" hidden="1" x14ac:dyDescent="0.2">
      <c r="A2278" t="s">
        <v>67</v>
      </c>
      <c r="B2278" t="s">
        <v>116</v>
      </c>
      <c r="C2278" s="4">
        <f>(0.501285425540793/(0.501285425540793+0.247997156571988+0.247997156571988)) * 2.21433400946585%</f>
        <v>1.1130411289498824E-2</v>
      </c>
      <c r="D2278" t="s">
        <v>242</v>
      </c>
      <c r="E2278" t="s">
        <v>371</v>
      </c>
      <c r="F2278" t="s">
        <v>413</v>
      </c>
      <c r="G2278" t="s">
        <v>245</v>
      </c>
    </row>
    <row r="2279" spans="1:8" hidden="1" x14ac:dyDescent="0.2">
      <c r="A2279" t="s">
        <v>67</v>
      </c>
      <c r="B2279" t="s">
        <v>116</v>
      </c>
      <c r="C2279" s="4">
        <f>((0.247997156571988+0.247997156571988)/(0.501285425540793+0.247997156571988+0.247997156571988)) * 2.21433400946585%</f>
        <v>1.1012928805159675E-2</v>
      </c>
      <c r="D2279" t="s">
        <v>256</v>
      </c>
      <c r="E2279" t="s">
        <v>412</v>
      </c>
      <c r="F2279" t="s">
        <v>413</v>
      </c>
      <c r="G2279" t="s">
        <v>245</v>
      </c>
    </row>
    <row r="2280" spans="1:8" hidden="1" x14ac:dyDescent="0.2">
      <c r="A2280" t="s">
        <v>67</v>
      </c>
      <c r="B2280" t="s">
        <v>145</v>
      </c>
      <c r="C2280" s="4">
        <f>(0.501285425540793/(0.501285425540793+0.247997156571988+0.247997156571988)) * 2.81721884155961%</f>
        <v>1.4160828612593945E-2</v>
      </c>
      <c r="D2280" t="s">
        <v>242</v>
      </c>
      <c r="E2280" t="s">
        <v>371</v>
      </c>
      <c r="F2280" t="s">
        <v>413</v>
      </c>
      <c r="G2280" t="s">
        <v>245</v>
      </c>
    </row>
    <row r="2281" spans="1:8" hidden="1" x14ac:dyDescent="0.2">
      <c r="A2281" t="s">
        <v>67</v>
      </c>
      <c r="B2281" t="s">
        <v>145</v>
      </c>
      <c r="C2281" s="4">
        <f>((0.247997156571988+0.247997156571988)/(0.501285425540793+0.247997156571988+0.247997156571988)) * 2.81721884155961%</f>
        <v>1.4011359803002152E-2</v>
      </c>
      <c r="D2281" t="s">
        <v>256</v>
      </c>
      <c r="E2281" t="s">
        <v>412</v>
      </c>
      <c r="F2281" t="s">
        <v>413</v>
      </c>
      <c r="G2281" t="s">
        <v>245</v>
      </c>
    </row>
    <row r="2282" spans="1:8" hidden="1" x14ac:dyDescent="0.2">
      <c r="A2282" t="s">
        <v>67</v>
      </c>
      <c r="B2282" t="s">
        <v>86</v>
      </c>
      <c r="C2282" s="4">
        <f>(0.501285425540793/(0.501285425540793+0.247997156571988+0.247997156571988)) * 35.1476222672977%</f>
        <v>0.17667049777072208</v>
      </c>
      <c r="D2282" t="s">
        <v>242</v>
      </c>
      <c r="E2282" t="s">
        <v>371</v>
      </c>
      <c r="F2282" t="s">
        <v>413</v>
      </c>
      <c r="G2282" t="s">
        <v>245</v>
      </c>
    </row>
    <row r="2283" spans="1:8" hidden="1" x14ac:dyDescent="0.2">
      <c r="A2283" t="s">
        <v>67</v>
      </c>
      <c r="B2283" t="s">
        <v>86</v>
      </c>
      <c r="C2283" s="4">
        <f>((0.247997156571988+0.247997156571988)/(0.501285425540793+0.247997156571988+0.247997156571988)) * 35.1476222672977%</f>
        <v>0.17480572490225488</v>
      </c>
      <c r="D2283" t="s">
        <v>256</v>
      </c>
      <c r="E2283" t="s">
        <v>412</v>
      </c>
      <c r="F2283" t="s">
        <v>413</v>
      </c>
      <c r="G2283" t="s">
        <v>245</v>
      </c>
    </row>
    <row r="2284" spans="1:8" hidden="1" x14ac:dyDescent="0.2">
      <c r="A2284" t="s">
        <v>67</v>
      </c>
      <c r="B2284" t="s">
        <v>154</v>
      </c>
      <c r="C2284" s="4">
        <f>(0.501285425540793/(0.501285425540793+0.247997156571988+0.247997156571988)) * 2.86229434302457%</f>
        <v>1.4387401870395477E-2</v>
      </c>
      <c r="D2284" t="s">
        <v>242</v>
      </c>
      <c r="E2284" t="s">
        <v>371</v>
      </c>
      <c r="F2284" t="s">
        <v>413</v>
      </c>
      <c r="G2284" t="s">
        <v>245</v>
      </c>
    </row>
    <row r="2285" spans="1:8" hidden="1" x14ac:dyDescent="0.2">
      <c r="A2285" t="s">
        <v>67</v>
      </c>
      <c r="B2285" t="s">
        <v>154</v>
      </c>
      <c r="C2285" s="4">
        <f>((0.247997156571988+0.247997156571988)/(0.501285425540793+0.247997156571988+0.247997156571988)) * 2.86229434302457%</f>
        <v>1.4235541559850217E-2</v>
      </c>
      <c r="D2285" t="s">
        <v>335</v>
      </c>
      <c r="E2285" t="s">
        <v>412</v>
      </c>
      <c r="F2285" t="s">
        <v>413</v>
      </c>
      <c r="G2285" t="s">
        <v>245</v>
      </c>
    </row>
    <row r="2286" spans="1:8" hidden="1" x14ac:dyDescent="0.2">
      <c r="A2286" t="s">
        <v>67</v>
      </c>
      <c r="B2286" t="s">
        <v>117</v>
      </c>
      <c r="C2286" s="4">
        <f>(0.501285425540793/(0.501285425540793+0.247997156571988+0.247997156571988)) * 10.6490872210953%</f>
        <v>5.3527932155604981E-2</v>
      </c>
      <c r="D2286" t="s">
        <v>242</v>
      </c>
      <c r="E2286" t="s">
        <v>371</v>
      </c>
      <c r="F2286" t="s">
        <v>413</v>
      </c>
      <c r="G2286" t="s">
        <v>245</v>
      </c>
    </row>
    <row r="2287" spans="1:8" hidden="1" x14ac:dyDescent="0.2">
      <c r="A2287" t="s">
        <v>67</v>
      </c>
      <c r="B2287" t="s">
        <v>117</v>
      </c>
      <c r="C2287" s="4">
        <f>((0.247997156571988+0.247997156571988)/(0.501285425540793+0.247997156571988+0.247997156571988)) * 10.6490872210953%</f>
        <v>5.2962940055348011E-2</v>
      </c>
      <c r="D2287" t="s">
        <v>335</v>
      </c>
      <c r="E2287" t="s">
        <v>412</v>
      </c>
      <c r="F2287" t="s">
        <v>413</v>
      </c>
      <c r="G2287" t="s">
        <v>245</v>
      </c>
    </row>
    <row r="2288" spans="1:8" hidden="1" x14ac:dyDescent="0.2">
      <c r="A2288" t="s">
        <v>67</v>
      </c>
      <c r="B2288" t="s">
        <v>119</v>
      </c>
      <c r="C2288" s="4">
        <f>(0.501285425540793/(0.501285425540793+0.247997156571988+0.247997156571988)) * 20.9995492449853%</f>
        <v>0.1055548164782751</v>
      </c>
      <c r="D2288" t="s">
        <v>242</v>
      </c>
      <c r="E2288" t="s">
        <v>371</v>
      </c>
      <c r="F2288" t="s">
        <v>413</v>
      </c>
      <c r="G2288" t="s">
        <v>245</v>
      </c>
    </row>
    <row r="2289" spans="1:7" hidden="1" x14ac:dyDescent="0.2">
      <c r="A2289" t="s">
        <v>67</v>
      </c>
      <c r="B2289" t="s">
        <v>119</v>
      </c>
      <c r="C2289" s="4">
        <f>((0.247997156571988+0.247997156571988)/(0.501285425540793+0.247997156571988+0.247997156571988)) * 20.9995492449853%</f>
        <v>0.10444067597157788</v>
      </c>
      <c r="D2289" t="s">
        <v>256</v>
      </c>
      <c r="E2289" t="s">
        <v>412</v>
      </c>
      <c r="F2289" t="s">
        <v>413</v>
      </c>
      <c r="G2289" t="s">
        <v>245</v>
      </c>
    </row>
    <row r="2290" spans="1:7" hidden="1" x14ac:dyDescent="0.2">
      <c r="A2290" t="s">
        <v>67</v>
      </c>
      <c r="B2290" t="s">
        <v>102</v>
      </c>
      <c r="C2290" s="4">
        <f>(0.501285425540793/(0.501285425540793+0.247997156571988+0.247997156571988)) * 0.321162947937796%</f>
        <v>1.6143344618357119E-3</v>
      </c>
      <c r="D2290" t="s">
        <v>242</v>
      </c>
      <c r="E2290" t="s">
        <v>371</v>
      </c>
      <c r="F2290" t="s">
        <v>413</v>
      </c>
      <c r="G2290" t="s">
        <v>245</v>
      </c>
    </row>
    <row r="2291" spans="1:7" hidden="1" x14ac:dyDescent="0.2">
      <c r="A2291" t="s">
        <v>67</v>
      </c>
      <c r="B2291" t="s">
        <v>102</v>
      </c>
      <c r="C2291" s="4">
        <f>((0.247997156571988+0.247997156571988)/(0.501285425540793+0.247997156571988+0.247997156571988)) * 0.321162947937796%</f>
        <v>1.5972950175422475E-3</v>
      </c>
      <c r="D2291" t="s">
        <v>256</v>
      </c>
      <c r="E2291" t="s">
        <v>412</v>
      </c>
      <c r="F2291" t="s">
        <v>413</v>
      </c>
      <c r="G2291" t="s">
        <v>245</v>
      </c>
    </row>
    <row r="2292" spans="1:7" hidden="1" x14ac:dyDescent="0.2">
      <c r="A2292" t="s">
        <v>67</v>
      </c>
      <c r="B2292" t="s">
        <v>150</v>
      </c>
      <c r="C2292" s="4">
        <f>(0.501285425540793/(0.501285425540793+0.247997156571988+0.247997156571988)) * 3.30741491999098%</f>
        <v>1.662481279118528E-2</v>
      </c>
      <c r="D2292" t="s">
        <v>242</v>
      </c>
      <c r="E2292" t="s">
        <v>371</v>
      </c>
      <c r="F2292" t="s">
        <v>413</v>
      </c>
      <c r="G2292" t="s">
        <v>245</v>
      </c>
    </row>
    <row r="2293" spans="1:7" hidden="1" x14ac:dyDescent="0.2">
      <c r="A2293" t="s">
        <v>67</v>
      </c>
      <c r="B2293" t="s">
        <v>150</v>
      </c>
      <c r="C2293" s="4">
        <f>((0.247997156571988+0.247997156571988)/(0.501285425540793+0.247997156571988+0.247997156571988)) * 3.30741491999098%</f>
        <v>1.6449336408724518E-2</v>
      </c>
      <c r="D2293" t="s">
        <v>256</v>
      </c>
      <c r="E2293" t="s">
        <v>412</v>
      </c>
      <c r="F2293" t="s">
        <v>413</v>
      </c>
      <c r="G2293" t="s">
        <v>245</v>
      </c>
    </row>
    <row r="2294" spans="1:7" hidden="1" x14ac:dyDescent="0.2">
      <c r="A2294" t="s">
        <v>67</v>
      </c>
      <c r="B2294" t="s">
        <v>146</v>
      </c>
      <c r="C2294" s="4">
        <f>(0.501285425540793/(0.501285425540793+0.247997156571988+0.247997156571988)) * 1.25647960333559%</f>
        <v>6.3157295612169193E-3</v>
      </c>
      <c r="D2294" t="s">
        <v>242</v>
      </c>
      <c r="E2294" t="s">
        <v>371</v>
      </c>
      <c r="F2294" t="s">
        <v>413</v>
      </c>
      <c r="G2294" t="s">
        <v>245</v>
      </c>
    </row>
    <row r="2295" spans="1:7" hidden="1" x14ac:dyDescent="0.2">
      <c r="A2295" t="s">
        <v>67</v>
      </c>
      <c r="B2295" t="s">
        <v>146</v>
      </c>
      <c r="C2295" s="4">
        <f>((0.247997156571988+0.247997156571988)/(0.501285425540793+0.247997156571988+0.247997156571988)) * 1.25647960333559%</f>
        <v>6.24906647213898E-3</v>
      </c>
      <c r="D2295" t="s">
        <v>256</v>
      </c>
      <c r="E2295" t="s">
        <v>412</v>
      </c>
      <c r="F2295" t="s">
        <v>413</v>
      </c>
      <c r="G2295" t="s">
        <v>245</v>
      </c>
    </row>
    <row r="2296" spans="1:7" hidden="1" x14ac:dyDescent="0.2">
      <c r="A2296" t="s">
        <v>67</v>
      </c>
      <c r="B2296" t="s">
        <v>156</v>
      </c>
      <c r="C2296" s="4">
        <f>(0.501285425540793/(0.501285425540793+0.247997156571988+0.247997156571988)) * 1.97205318909173%</f>
        <v>9.9125800288157769E-3</v>
      </c>
      <c r="D2296" t="s">
        <v>242</v>
      </c>
      <c r="E2296" t="s">
        <v>371</v>
      </c>
      <c r="F2296" t="s">
        <v>413</v>
      </c>
      <c r="G2296" t="s">
        <v>245</v>
      </c>
    </row>
    <row r="2297" spans="1:7" hidden="1" x14ac:dyDescent="0.2">
      <c r="A2297" t="s">
        <v>67</v>
      </c>
      <c r="B2297" t="s">
        <v>156</v>
      </c>
      <c r="C2297" s="4">
        <f>((0.247997156571988+0.247997156571988)/(0.501285425540793+0.247997156571988+0.247997156571988)) * 1.97205318909173%</f>
        <v>9.8079518621015226E-3</v>
      </c>
      <c r="D2297" t="s">
        <v>256</v>
      </c>
      <c r="E2297" t="s">
        <v>412</v>
      </c>
      <c r="F2297" t="s">
        <v>413</v>
      </c>
      <c r="G2297" t="s">
        <v>245</v>
      </c>
    </row>
    <row r="2298" spans="1:7" hidden="1" x14ac:dyDescent="0.2">
      <c r="A2298" t="s">
        <v>67</v>
      </c>
      <c r="B2298" t="s">
        <v>151</v>
      </c>
      <c r="C2298" s="4">
        <f>(0.501285425540793/(0.501285425540793+0.247997156571988+0.247997156571988)) * 2.00585981519044%</f>
        <v>1.0082509972166878E-2</v>
      </c>
      <c r="D2298" t="s">
        <v>242</v>
      </c>
      <c r="E2298" t="s">
        <v>371</v>
      </c>
      <c r="F2298" t="s">
        <v>413</v>
      </c>
      <c r="G2298" t="s">
        <v>245</v>
      </c>
    </row>
    <row r="2299" spans="1:7" hidden="1" x14ac:dyDescent="0.2">
      <c r="A2299" t="s">
        <v>67</v>
      </c>
      <c r="B2299" t="s">
        <v>151</v>
      </c>
      <c r="C2299" s="4">
        <f>((0.247997156571988+0.247997156571988)/(0.501285425540793+0.247997156571988+0.247997156571988)) * 2.00585981519044%</f>
        <v>9.9760881797375228E-3</v>
      </c>
      <c r="D2299" t="s">
        <v>335</v>
      </c>
      <c r="E2299" t="s">
        <v>412</v>
      </c>
      <c r="F2299" t="s">
        <v>413</v>
      </c>
      <c r="G2299" t="s">
        <v>245</v>
      </c>
    </row>
    <row r="2300" spans="1:7" hidden="1" x14ac:dyDescent="0.2">
      <c r="A2300" t="s">
        <v>67</v>
      </c>
      <c r="B2300" t="s">
        <v>107</v>
      </c>
      <c r="C2300" s="4">
        <f>(0.501285425540793/(0.501285425540793+0.247997156571988+0.247997156571988)) * 5.28510254676583%</f>
        <v>2.6565714477226249E-2</v>
      </c>
      <c r="D2300" t="s">
        <v>242</v>
      </c>
      <c r="E2300" t="s">
        <v>371</v>
      </c>
      <c r="F2300" t="s">
        <v>413</v>
      </c>
      <c r="G2300" t="s">
        <v>245</v>
      </c>
    </row>
    <row r="2301" spans="1:7" hidden="1" x14ac:dyDescent="0.2">
      <c r="A2301" t="s">
        <v>67</v>
      </c>
      <c r="B2301" t="s">
        <v>107</v>
      </c>
      <c r="C2301" s="4">
        <f>((0.247997156571988+0.247997156571988)/(0.501285425540793+0.247997156571988+0.247997156571988)) * 5.28510254676583%</f>
        <v>2.6285310990432048E-2</v>
      </c>
      <c r="D2301" t="s">
        <v>335</v>
      </c>
      <c r="E2301" t="s">
        <v>412</v>
      </c>
      <c r="F2301" t="s">
        <v>413</v>
      </c>
      <c r="G2301" t="s">
        <v>245</v>
      </c>
    </row>
    <row r="2302" spans="1:7" hidden="1" x14ac:dyDescent="0.2">
      <c r="A2302" t="s">
        <v>67</v>
      </c>
      <c r="B2302" t="s">
        <v>179</v>
      </c>
      <c r="C2302" s="4">
        <f>(0.501285425540793/(0.501285425540793+0.247997156571988+0.247997156571988)) * 0.58034708136128%</f>
        <v>2.9171306941943543E-3</v>
      </c>
      <c r="D2302" t="s">
        <v>242</v>
      </c>
      <c r="E2302" t="s">
        <v>371</v>
      </c>
      <c r="F2302" t="s">
        <v>413</v>
      </c>
      <c r="G2302" t="s">
        <v>245</v>
      </c>
    </row>
    <row r="2303" spans="1:7" hidden="1" x14ac:dyDescent="0.2">
      <c r="A2303" t="s">
        <v>67</v>
      </c>
      <c r="B2303" t="s">
        <v>179</v>
      </c>
      <c r="C2303" s="4">
        <f>((0.247997156571988+0.247997156571988)/(0.501285425540793+0.247997156571988+0.247997156571988)) * 0.58034708136128%</f>
        <v>2.8863401194184454E-3</v>
      </c>
      <c r="D2303" t="s">
        <v>335</v>
      </c>
      <c r="E2303" t="s">
        <v>412</v>
      </c>
      <c r="F2303" t="s">
        <v>413</v>
      </c>
      <c r="G2303" t="s">
        <v>245</v>
      </c>
    </row>
    <row r="2304" spans="1:7" hidden="1" x14ac:dyDescent="0.2">
      <c r="A2304" t="s">
        <v>67</v>
      </c>
      <c r="B2304" t="s">
        <v>138</v>
      </c>
      <c r="C2304" s="4">
        <f>(0.501285425540793/(0.501285425540793+0.247997156571988+0.247997156571988)) * 0.94658553076403%</f>
        <v>4.7580384138315697E-3</v>
      </c>
      <c r="D2304" t="s">
        <v>242</v>
      </c>
      <c r="E2304" t="s">
        <v>371</v>
      </c>
      <c r="F2304" t="s">
        <v>413</v>
      </c>
      <c r="G2304" t="s">
        <v>245</v>
      </c>
    </row>
    <row r="2305" spans="1:8" hidden="1" x14ac:dyDescent="0.2">
      <c r="A2305" t="s">
        <v>67</v>
      </c>
      <c r="B2305" t="s">
        <v>138</v>
      </c>
      <c r="C2305" s="4">
        <f>((0.247997156571988+0.247997156571988)/(0.501285425540793+0.247997156571988+0.247997156571988)) * 0.94658553076403%</f>
        <v>4.7078168938087276E-3</v>
      </c>
      <c r="D2305" t="s">
        <v>335</v>
      </c>
      <c r="E2305" t="s">
        <v>412</v>
      </c>
      <c r="F2305" t="s">
        <v>413</v>
      </c>
      <c r="G2305" t="s">
        <v>245</v>
      </c>
    </row>
    <row r="2306" spans="1:8" hidden="1" x14ac:dyDescent="0.2">
      <c r="A2306" t="s">
        <v>67</v>
      </c>
      <c r="B2306" t="s">
        <v>113</v>
      </c>
      <c r="C2306" s="4">
        <f>(0.501285425540793/(0.501285425540793+0.247997156571988+0.247997156571988)) * 3.32431823304034%</f>
        <v>1.6709777762860853E-2</v>
      </c>
      <c r="D2306" t="s">
        <v>242</v>
      </c>
      <c r="E2306" t="s">
        <v>371</v>
      </c>
      <c r="F2306" t="s">
        <v>413</v>
      </c>
      <c r="G2306" t="s">
        <v>245</v>
      </c>
    </row>
    <row r="2307" spans="1:8" hidden="1" x14ac:dyDescent="0.2">
      <c r="A2307" t="s">
        <v>67</v>
      </c>
      <c r="B2307" t="s">
        <v>113</v>
      </c>
      <c r="C2307" s="4">
        <f>((0.247997156571988+0.247997156571988)/(0.501285425540793+0.247997156571988+0.247997156571988)) * 3.32431823304034%</f>
        <v>1.6533404567542539E-2</v>
      </c>
      <c r="D2307" t="s">
        <v>256</v>
      </c>
      <c r="E2307" t="s">
        <v>412</v>
      </c>
      <c r="F2307" t="s">
        <v>413</v>
      </c>
      <c r="G2307" t="s">
        <v>245</v>
      </c>
    </row>
    <row r="2308" spans="1:8" hidden="1" x14ac:dyDescent="0.2">
      <c r="A2308" t="s">
        <v>67</v>
      </c>
      <c r="B2308" t="s">
        <v>180</v>
      </c>
      <c r="C2308" s="4">
        <f>(0.501285425540793/(0.501285425540793+0.247997156571988+0.247997156571988)) * 0.112688753662384%</f>
        <v>5.6643314450375573E-4</v>
      </c>
      <c r="D2308" t="s">
        <v>242</v>
      </c>
      <c r="E2308" t="s">
        <v>371</v>
      </c>
      <c r="F2308" t="s">
        <v>413</v>
      </c>
      <c r="G2308" t="s">
        <v>245</v>
      </c>
    </row>
    <row r="2309" spans="1:8" hidden="1" x14ac:dyDescent="0.2">
      <c r="A2309" t="s">
        <v>67</v>
      </c>
      <c r="B2309" t="s">
        <v>180</v>
      </c>
      <c r="C2309" s="4">
        <f>((0.247997156571988+0.247997156571988)/(0.501285425540793+0.247997156571988+0.247997156571988)) * 0.112688753662384%</f>
        <v>5.6045439212008407E-4</v>
      </c>
      <c r="D2309" t="s">
        <v>256</v>
      </c>
      <c r="E2309" t="s">
        <v>412</v>
      </c>
      <c r="F2309" t="s">
        <v>413</v>
      </c>
      <c r="G2309" t="s">
        <v>245</v>
      </c>
    </row>
    <row r="2310" spans="1:8" hidden="1" x14ac:dyDescent="0.2">
      <c r="A2310" t="s">
        <v>68</v>
      </c>
      <c r="B2310" t="s">
        <v>183</v>
      </c>
      <c r="C2310" s="4">
        <f>(0.0900940072589024/(0.0900940072589024+0.00396421732885982+0.0572052587068733+0.752028927432513)) * 0.00017026467232329%</f>
        <v>1.698212720715831E-7</v>
      </c>
      <c r="D2310" t="s">
        <v>242</v>
      </c>
      <c r="E2310" t="s">
        <v>371</v>
      </c>
      <c r="F2310" t="s">
        <v>442</v>
      </c>
      <c r="G2310" s="4" t="s">
        <v>245</v>
      </c>
      <c r="H2310" t="s">
        <v>443</v>
      </c>
    </row>
    <row r="2311" spans="1:8" hidden="1" x14ac:dyDescent="0.2">
      <c r="A2311" t="s">
        <v>68</v>
      </c>
      <c r="B2311" t="s">
        <v>183</v>
      </c>
      <c r="C2311" s="4">
        <f>(0.00396421732885982/(0.0900940072589024+0.00396421732885982+0.0572052587068733+0.752028927432513))  * 0.00017026467232329%</f>
        <v>7.4722886686635496E-9</v>
      </c>
      <c r="D2311" t="s">
        <v>256</v>
      </c>
      <c r="E2311" t="s">
        <v>366</v>
      </c>
      <c r="F2311" t="s">
        <v>442</v>
      </c>
      <c r="G2311" s="4" t="s">
        <v>245</v>
      </c>
    </row>
    <row r="2312" spans="1:8" hidden="1" x14ac:dyDescent="0.2">
      <c r="A2312" t="s">
        <v>68</v>
      </c>
      <c r="B2312" t="s">
        <v>183</v>
      </c>
      <c r="C2312" s="4">
        <f>(0.0572052587068733/(0.0900940072589024+0.00396421732885982+0.0572052587068733+0.752028927432513)) * 0.00017026467232329%</f>
        <v>1.0782814638123778E-7</v>
      </c>
      <c r="D2312" t="s">
        <v>256</v>
      </c>
      <c r="E2312" t="s">
        <v>281</v>
      </c>
      <c r="F2312" t="s">
        <v>442</v>
      </c>
      <c r="G2312" s="4" t="s">
        <v>245</v>
      </c>
    </row>
    <row r="2313" spans="1:8" hidden="1" x14ac:dyDescent="0.2">
      <c r="A2313" t="s">
        <v>68</v>
      </c>
      <c r="B2313" t="s">
        <v>183</v>
      </c>
      <c r="C2313" s="4">
        <f>(0.752028927432513/(0.0900940072589024+0.00396421732885982+0.0572052587068733+0.752028927432513)) * 0.00017026467232329%</f>
        <v>1.4175250161114156E-6</v>
      </c>
      <c r="D2313" t="s">
        <v>256</v>
      </c>
      <c r="E2313" t="s">
        <v>367</v>
      </c>
      <c r="F2313" t="s">
        <v>442</v>
      </c>
      <c r="G2313" s="4" t="s">
        <v>245</v>
      </c>
    </row>
    <row r="2314" spans="1:8" hidden="1" x14ac:dyDescent="0.2">
      <c r="A2314" t="s">
        <v>68</v>
      </c>
      <c r="B2314" t="s">
        <v>124</v>
      </c>
      <c r="C2314" s="4">
        <f>(0.0900940072589024/(0.0900940072589024+0.00396421732885982+0.0572052587068733+0.752028927432513)) * 3.43738613550038%</f>
        <v>3.4284345552524189E-3</v>
      </c>
      <c r="D2314" t="s">
        <v>242</v>
      </c>
      <c r="E2314" t="s">
        <v>371</v>
      </c>
      <c r="F2314" t="s">
        <v>442</v>
      </c>
      <c r="G2314" s="4" t="s">
        <v>245</v>
      </c>
    </row>
    <row r="2315" spans="1:8" hidden="1" x14ac:dyDescent="0.2">
      <c r="A2315" t="s">
        <v>68</v>
      </c>
      <c r="B2315" t="s">
        <v>124</v>
      </c>
      <c r="C2315" s="4">
        <f>(0.00396421732885982/(0.0900940072589024+0.00396421732885982+0.0572052587068733+0.752028927432513))  * 3.43738613550038%</f>
        <v>1.5085420316289115E-4</v>
      </c>
      <c r="D2315" t="s">
        <v>256</v>
      </c>
      <c r="E2315" t="s">
        <v>366</v>
      </c>
      <c r="F2315" t="s">
        <v>442</v>
      </c>
      <c r="G2315" s="4" t="s">
        <v>245</v>
      </c>
    </row>
    <row r="2316" spans="1:8" hidden="1" x14ac:dyDescent="0.2">
      <c r="A2316" t="s">
        <v>68</v>
      </c>
      <c r="B2316" t="s">
        <v>124</v>
      </c>
      <c r="C2316" s="4">
        <f>(0.0572052587068733/(0.0900940072589024+0.00396421732885982+0.0572052587068733+0.752028927432513)) * 3.43738613550038%</f>
        <v>2.1768871388881325E-3</v>
      </c>
      <c r="D2316" t="s">
        <v>256</v>
      </c>
      <c r="E2316" t="s">
        <v>281</v>
      </c>
      <c r="F2316" t="s">
        <v>442</v>
      </c>
      <c r="G2316" s="4" t="s">
        <v>245</v>
      </c>
    </row>
    <row r="2317" spans="1:8" hidden="1" x14ac:dyDescent="0.2">
      <c r="A2317" t="s">
        <v>68</v>
      </c>
      <c r="B2317" t="s">
        <v>124</v>
      </c>
      <c r="C2317" s="4">
        <f>(0.752028927432513/(0.0900940072589024+0.00396421732885982+0.0572052587068733+0.752028927432513)) * 3.43738613550038%</f>
        <v>2.8617685457700354E-2</v>
      </c>
      <c r="D2317" t="s">
        <v>256</v>
      </c>
      <c r="E2317" t="s">
        <v>367</v>
      </c>
      <c r="F2317" t="s">
        <v>442</v>
      </c>
      <c r="G2317" s="4" t="s">
        <v>245</v>
      </c>
    </row>
    <row r="2318" spans="1:8" hidden="1" x14ac:dyDescent="0.2">
      <c r="A2318" t="s">
        <v>68</v>
      </c>
      <c r="B2318" t="s">
        <v>164</v>
      </c>
      <c r="C2318" s="4">
        <f>(0.0900940072589024/(0.0900940072589024+0.00396421732885982+0.0572052587068733+0.752028927432513)) * 0.067885699094415%</f>
        <v>6.7708912356126693E-5</v>
      </c>
      <c r="D2318" t="s">
        <v>242</v>
      </c>
      <c r="E2318" t="s">
        <v>371</v>
      </c>
      <c r="F2318" t="s">
        <v>442</v>
      </c>
      <c r="G2318" s="4" t="s">
        <v>245</v>
      </c>
    </row>
    <row r="2319" spans="1:8" hidden="1" x14ac:dyDescent="0.2">
      <c r="A2319" t="s">
        <v>68</v>
      </c>
      <c r="B2319" t="s">
        <v>164</v>
      </c>
      <c r="C2319" s="4">
        <f>(0.00396421732885982/(0.0900940072589024+0.00396421732885982+0.0572052587068733+0.752028927432513))  * 0.067885699094415%</f>
        <v>2.9792530252214502E-6</v>
      </c>
      <c r="D2319" t="s">
        <v>256</v>
      </c>
      <c r="E2319" t="s">
        <v>366</v>
      </c>
      <c r="F2319" t="s">
        <v>442</v>
      </c>
      <c r="G2319" s="4" t="s">
        <v>245</v>
      </c>
    </row>
    <row r="2320" spans="1:8" hidden="1" x14ac:dyDescent="0.2">
      <c r="A2320" t="s">
        <v>68</v>
      </c>
      <c r="B2320" t="s">
        <v>164</v>
      </c>
      <c r="C2320" s="4">
        <f>(0.0572052587068733/(0.0900940072589024+0.00396421732885982+0.0572052587068733+0.752028927432513)) * 0.067885699094415%</f>
        <v>4.2991825604588217E-5</v>
      </c>
      <c r="D2320" t="s">
        <v>256</v>
      </c>
      <c r="E2320" t="s">
        <v>281</v>
      </c>
      <c r="F2320" t="s">
        <v>442</v>
      </c>
      <c r="G2320" s="4" t="s">
        <v>245</v>
      </c>
    </row>
    <row r="2321" spans="1:7" hidden="1" x14ac:dyDescent="0.2">
      <c r="A2321" t="s">
        <v>68</v>
      </c>
      <c r="B2321" t="s">
        <v>164</v>
      </c>
      <c r="C2321" s="4">
        <f>(0.752028927432513/(0.0900940072589024+0.00396421732885982+0.0572052587068733+0.752028927432513)) * 0.067885699094415%</f>
        <v>5.651769999582137E-4</v>
      </c>
      <c r="D2321" t="s">
        <v>256</v>
      </c>
      <c r="E2321" t="s">
        <v>367</v>
      </c>
      <c r="F2321" t="s">
        <v>442</v>
      </c>
      <c r="G2321" s="4" t="s">
        <v>245</v>
      </c>
    </row>
    <row r="2322" spans="1:7" hidden="1" x14ac:dyDescent="0.2">
      <c r="A2322" t="s">
        <v>68</v>
      </c>
      <c r="B2322" t="s">
        <v>83</v>
      </c>
      <c r="C2322" s="4">
        <f>(0.0900940072589024/(0.0900940072589024+0.00396421732885982+0.0572052587068733+0.752028927432513)) * 4.67259541955153%</f>
        <v>4.6604271291076985E-3</v>
      </c>
      <c r="D2322" t="s">
        <v>242</v>
      </c>
      <c r="E2322" t="s">
        <v>371</v>
      </c>
      <c r="F2322" t="s">
        <v>442</v>
      </c>
      <c r="G2322" s="4" t="s">
        <v>245</v>
      </c>
    </row>
    <row r="2323" spans="1:7" hidden="1" x14ac:dyDescent="0.2">
      <c r="A2323" t="s">
        <v>68</v>
      </c>
      <c r="B2323" t="s">
        <v>83</v>
      </c>
      <c r="C2323" s="4">
        <f>(0.00396421732885982/(0.0900940072589024+0.00396421732885982+0.0572052587068733+0.752028927432513))  * 4.67259541955153%</f>
        <v>2.0506298417835787E-4</v>
      </c>
      <c r="D2323" t="s">
        <v>256</v>
      </c>
      <c r="E2323" t="s">
        <v>366</v>
      </c>
      <c r="F2323" t="s">
        <v>442</v>
      </c>
      <c r="G2323" s="4" t="s">
        <v>245</v>
      </c>
    </row>
    <row r="2324" spans="1:7" hidden="1" x14ac:dyDescent="0.2">
      <c r="A2324" t="s">
        <v>68</v>
      </c>
      <c r="B2324" t="s">
        <v>83</v>
      </c>
      <c r="C2324" s="4">
        <f>(0.0572052587068733/(0.0900940072589024+0.00396421732885982+0.0572052587068733+0.752028927432513)) * 4.67259541955153%</f>
        <v>2.9591417644350944E-3</v>
      </c>
      <c r="D2324" t="s">
        <v>256</v>
      </c>
      <c r="E2324" t="s">
        <v>281</v>
      </c>
      <c r="F2324" t="s">
        <v>442</v>
      </c>
      <c r="G2324" s="4" t="s">
        <v>245</v>
      </c>
    </row>
    <row r="2325" spans="1:7" hidden="1" x14ac:dyDescent="0.2">
      <c r="A2325" t="s">
        <v>68</v>
      </c>
      <c r="B2325" t="s">
        <v>83</v>
      </c>
      <c r="C2325" s="4">
        <f>(0.752028927432513/(0.0900940072589024+0.00396421732885982+0.0572052587068733+0.752028927432513)) * 4.67259541955153%</f>
        <v>3.8901322317794147E-2</v>
      </c>
      <c r="D2325" t="s">
        <v>256</v>
      </c>
      <c r="E2325" t="s">
        <v>367</v>
      </c>
      <c r="F2325" t="s">
        <v>442</v>
      </c>
      <c r="G2325" s="4" t="s">
        <v>245</v>
      </c>
    </row>
    <row r="2326" spans="1:7" hidden="1" x14ac:dyDescent="0.2">
      <c r="A2326" t="s">
        <v>68</v>
      </c>
      <c r="B2326" t="s">
        <v>125</v>
      </c>
      <c r="C2326" s="4">
        <f>(0.0900940072589024/(0.0900940072589024+0.00396421732885982+0.0572052587068733+0.752028927432513)) * 0.0306513105154405%</f>
        <v>3.0571488914093349E-5</v>
      </c>
      <c r="D2326" t="s">
        <v>242</v>
      </c>
      <c r="E2326" t="s">
        <v>371</v>
      </c>
      <c r="F2326" t="s">
        <v>442</v>
      </c>
      <c r="G2326" s="4" t="s">
        <v>245</v>
      </c>
    </row>
    <row r="2327" spans="1:7" hidden="1" x14ac:dyDescent="0.2">
      <c r="A2327" t="s">
        <v>68</v>
      </c>
      <c r="B2327" t="s">
        <v>125</v>
      </c>
      <c r="C2327" s="4">
        <f>(0.00396421732885982/(0.0900940072589024+0.00396421732885982+0.0572052587068733+0.752028927432513))  * 0.0306513105154405%</f>
        <v>1.345173001063503E-6</v>
      </c>
      <c r="D2327" t="s">
        <v>256</v>
      </c>
      <c r="E2327" t="s">
        <v>366</v>
      </c>
      <c r="F2327" t="s">
        <v>442</v>
      </c>
      <c r="G2327" s="4" t="s">
        <v>245</v>
      </c>
    </row>
    <row r="2328" spans="1:7" hidden="1" x14ac:dyDescent="0.2">
      <c r="A2328" t="s">
        <v>68</v>
      </c>
      <c r="B2328" t="s">
        <v>125</v>
      </c>
      <c r="C2328" s="4">
        <f>(0.0572052587068733/(0.0900940072589024+0.00396421732885982+0.0572052587068733+0.752028927432513)) * 0.0306513105154405%</f>
        <v>1.9411390231087886E-5</v>
      </c>
      <c r="D2328" t="s">
        <v>256</v>
      </c>
      <c r="E2328" t="s">
        <v>281</v>
      </c>
      <c r="F2328" t="s">
        <v>442</v>
      </c>
      <c r="G2328" s="4" t="s">
        <v>245</v>
      </c>
    </row>
    <row r="2329" spans="1:7" hidden="1" x14ac:dyDescent="0.2">
      <c r="A2329" t="s">
        <v>68</v>
      </c>
      <c r="B2329" t="s">
        <v>125</v>
      </c>
      <c r="C2329" s="4">
        <f>(0.752028927432513/(0.0900940072589024+0.00396421732885982+0.0572052587068733+0.752028927432513)) * 0.0306513105154405%</f>
        <v>2.5518505300816026E-4</v>
      </c>
      <c r="D2329" t="s">
        <v>256</v>
      </c>
      <c r="E2329" t="s">
        <v>367</v>
      </c>
      <c r="F2329" t="s">
        <v>442</v>
      </c>
      <c r="G2329" s="4" t="s">
        <v>245</v>
      </c>
    </row>
    <row r="2330" spans="1:7" hidden="1" x14ac:dyDescent="0.2">
      <c r="A2330" t="s">
        <v>68</v>
      </c>
      <c r="B2330" t="s">
        <v>144</v>
      </c>
      <c r="C2330" s="4">
        <f>(0.0900940072589024/(0.0900940072589024+0.00396421732885982+0.0572052587068733+0.752028927432513)) * 4.24589306932367%</f>
        <v>4.2348359896020238E-3</v>
      </c>
      <c r="D2330" t="s">
        <v>242</v>
      </c>
      <c r="E2330" t="s">
        <v>371</v>
      </c>
      <c r="F2330" t="s">
        <v>442</v>
      </c>
      <c r="G2330" s="4" t="s">
        <v>245</v>
      </c>
    </row>
    <row r="2331" spans="1:7" hidden="1" x14ac:dyDescent="0.2">
      <c r="A2331" t="s">
        <v>68</v>
      </c>
      <c r="B2331" t="s">
        <v>144</v>
      </c>
      <c r="C2331" s="4">
        <f>(0.00396421732885982/(0.0900940072589024+0.00396421732885982+0.0572052587068733+0.752028927432513))  * 4.24589306932367%</f>
        <v>1.8633659136302571E-4</v>
      </c>
      <c r="D2331" t="s">
        <v>256</v>
      </c>
      <c r="E2331" t="s">
        <v>366</v>
      </c>
      <c r="F2331" t="s">
        <v>442</v>
      </c>
      <c r="G2331" s="4" t="s">
        <v>245</v>
      </c>
    </row>
    <row r="2332" spans="1:7" hidden="1" x14ac:dyDescent="0.2">
      <c r="A2332" t="s">
        <v>68</v>
      </c>
      <c r="B2332" t="s">
        <v>144</v>
      </c>
      <c r="C2332" s="4">
        <f>(0.0572052587068733/(0.0900940072589024+0.00396421732885982+0.0572052587068733+0.752028927432513)) * 4.24589306932367%</f>
        <v>2.6889123454148919E-3</v>
      </c>
      <c r="D2332" t="s">
        <v>256</v>
      </c>
      <c r="E2332" t="s">
        <v>281</v>
      </c>
      <c r="F2332" t="s">
        <v>442</v>
      </c>
      <c r="G2332" s="4" t="s">
        <v>245</v>
      </c>
    </row>
    <row r="2333" spans="1:7" hidden="1" x14ac:dyDescent="0.2">
      <c r="A2333" t="s">
        <v>68</v>
      </c>
      <c r="B2333" t="s">
        <v>144</v>
      </c>
      <c r="C2333" s="4">
        <f>(0.752028927432513/(0.0900940072589024+0.00396421732885982+0.0572052587068733+0.752028927432513)) * 4.24589306932367%</f>
        <v>3.5348845766856762E-2</v>
      </c>
      <c r="D2333" t="s">
        <v>256</v>
      </c>
      <c r="E2333" t="s">
        <v>367</v>
      </c>
      <c r="F2333" t="s">
        <v>442</v>
      </c>
      <c r="G2333" s="4" t="s">
        <v>245</v>
      </c>
    </row>
    <row r="2334" spans="1:7" hidden="1" x14ac:dyDescent="0.2">
      <c r="A2334" t="s">
        <v>68</v>
      </c>
      <c r="B2334" t="s">
        <v>165</v>
      </c>
      <c r="C2334" s="4">
        <f>(0.0900940072589024/(0.0900940072589024+0.00396421732885982+0.0572052587068733+0.752028927432513)) * 0.0495844485180104%</f>
        <v>4.9455321573156646E-5</v>
      </c>
      <c r="D2334" t="s">
        <v>242</v>
      </c>
      <c r="E2334" t="s">
        <v>371</v>
      </c>
      <c r="F2334" t="s">
        <v>442</v>
      </c>
      <c r="G2334" s="4" t="s">
        <v>245</v>
      </c>
    </row>
    <row r="2335" spans="1:7" hidden="1" x14ac:dyDescent="0.2">
      <c r="A2335" t="s">
        <v>68</v>
      </c>
      <c r="B2335" t="s">
        <v>165</v>
      </c>
      <c r="C2335" s="4">
        <f>(0.00396421732885982/(0.0900940072589024+0.00396421732885982+0.0572052587068733+0.752028927432513))  * 0.0495844485180104%</f>
        <v>2.1760786177625614E-6</v>
      </c>
      <c r="D2335" t="s">
        <v>256</v>
      </c>
      <c r="E2335" t="s">
        <v>366</v>
      </c>
      <c r="F2335" t="s">
        <v>442</v>
      </c>
      <c r="G2335" s="4" t="s">
        <v>245</v>
      </c>
    </row>
    <row r="2336" spans="1:7" hidden="1" x14ac:dyDescent="0.2">
      <c r="A2336" t="s">
        <v>68</v>
      </c>
      <c r="B2336" t="s">
        <v>165</v>
      </c>
      <c r="C2336" s="4">
        <f>(0.0572052587068733/(0.0900940072589024+0.00396421732885982+0.0572052587068733+0.752028927432513)) * 0.0495844485180104%</f>
        <v>3.140169419808427E-5</v>
      </c>
      <c r="D2336" t="s">
        <v>256</v>
      </c>
      <c r="E2336" t="s">
        <v>281</v>
      </c>
      <c r="F2336" t="s">
        <v>442</v>
      </c>
      <c r="G2336" s="4" t="s">
        <v>245</v>
      </c>
    </row>
    <row r="2337" spans="1:7" hidden="1" x14ac:dyDescent="0.2">
      <c r="A2337" t="s">
        <v>68</v>
      </c>
      <c r="B2337" t="s">
        <v>165</v>
      </c>
      <c r="C2337" s="4">
        <f>(0.752028927432513/(0.0900940072589024+0.00396421732885982+0.0572052587068733+0.752028927432513)) * 0.0495844485180104%</f>
        <v>4.1281139079110061E-4</v>
      </c>
      <c r="D2337" t="s">
        <v>256</v>
      </c>
      <c r="E2337" t="s">
        <v>367</v>
      </c>
      <c r="F2337" t="s">
        <v>442</v>
      </c>
      <c r="G2337" s="4" t="s">
        <v>245</v>
      </c>
    </row>
    <row r="2338" spans="1:7" hidden="1" x14ac:dyDescent="0.2">
      <c r="A2338" t="s">
        <v>68</v>
      </c>
      <c r="B2338" t="s">
        <v>85</v>
      </c>
      <c r="C2338" s="4">
        <f>(0.0900940072589024/(0.0900940072589024+0.00396421732885982+0.0572052587068733+0.752028927432513)) * 0.226921709837764%</f>
        <v>2.2633076432988566E-4</v>
      </c>
      <c r="D2338" t="s">
        <v>242</v>
      </c>
      <c r="E2338" t="s">
        <v>371</v>
      </c>
      <c r="F2338" t="s">
        <v>442</v>
      </c>
      <c r="G2338" s="4" t="s">
        <v>245</v>
      </c>
    </row>
    <row r="2339" spans="1:7" hidden="1" x14ac:dyDescent="0.2">
      <c r="A2339" t="s">
        <v>68</v>
      </c>
      <c r="B2339" t="s">
        <v>85</v>
      </c>
      <c r="C2339" s="4">
        <f>(0.00396421732885982/(0.0900940072589024+0.00396421732885982+0.0572052587068733+0.752028927432513))  * 0.226921709837764%</f>
        <v>9.9587571394429693E-6</v>
      </c>
      <c r="D2339" t="s">
        <v>256</v>
      </c>
      <c r="E2339" t="s">
        <v>366</v>
      </c>
      <c r="F2339" t="s">
        <v>442</v>
      </c>
      <c r="G2339" s="4" t="s">
        <v>245</v>
      </c>
    </row>
    <row r="2340" spans="1:7" hidden="1" x14ac:dyDescent="0.2">
      <c r="A2340" t="s">
        <v>68</v>
      </c>
      <c r="B2340" t="s">
        <v>85</v>
      </c>
      <c r="C2340" s="4">
        <f>(0.0572052587068733/(0.0900940072589024+0.00396421732885982+0.0572052587068733+0.752028927432513)) * 0.226921709837764%</f>
        <v>1.4370889164258064E-4</v>
      </c>
      <c r="D2340" t="s">
        <v>256</v>
      </c>
      <c r="E2340" t="s">
        <v>281</v>
      </c>
      <c r="F2340" t="s">
        <v>442</v>
      </c>
      <c r="G2340" s="4" t="s">
        <v>245</v>
      </c>
    </row>
    <row r="2341" spans="1:7" hidden="1" x14ac:dyDescent="0.2">
      <c r="A2341" t="s">
        <v>68</v>
      </c>
      <c r="B2341" t="s">
        <v>85</v>
      </c>
      <c r="C2341" s="4">
        <f>(0.752028927432513/(0.0900940072589024+0.00396421732885982+0.0572052587068733+0.752028927432513)) * 0.226921709837764%</f>
        <v>1.8892186852657307E-3</v>
      </c>
      <c r="D2341" t="s">
        <v>256</v>
      </c>
      <c r="E2341" t="s">
        <v>367</v>
      </c>
      <c r="F2341" t="s">
        <v>442</v>
      </c>
      <c r="G2341" s="4" t="s">
        <v>245</v>
      </c>
    </row>
    <row r="2342" spans="1:7" hidden="1" x14ac:dyDescent="0.2">
      <c r="A2342" t="s">
        <v>68</v>
      </c>
      <c r="B2342" t="s">
        <v>147</v>
      </c>
      <c r="C2342" s="4">
        <f>(0.0900940072589024/(0.0900940072589024+0.00396421732885982+0.0572052587068733+0.752028927432513)) * 0.153100965893873%</f>
        <v>1.5270226306322935E-4</v>
      </c>
      <c r="D2342" t="s">
        <v>242</v>
      </c>
      <c r="E2342" t="s">
        <v>371</v>
      </c>
      <c r="F2342" t="s">
        <v>442</v>
      </c>
      <c r="G2342" s="4" t="s">
        <v>245</v>
      </c>
    </row>
    <row r="2343" spans="1:7" hidden="1" x14ac:dyDescent="0.2">
      <c r="A2343" t="s">
        <v>68</v>
      </c>
      <c r="B2343" t="s">
        <v>147</v>
      </c>
      <c r="C2343" s="4">
        <f>(0.00396421732885982/(0.0900940072589024+0.00396421732885982+0.0572052587068733+0.752028927432513))  * 0.153100965893873%</f>
        <v>6.7190368794651338E-6</v>
      </c>
      <c r="D2343" t="s">
        <v>256</v>
      </c>
      <c r="E2343" t="s">
        <v>366</v>
      </c>
      <c r="F2343" t="s">
        <v>442</v>
      </c>
      <c r="G2343" s="4" t="s">
        <v>245</v>
      </c>
    </row>
    <row r="2344" spans="1:7" hidden="1" x14ac:dyDescent="0.2">
      <c r="A2344" t="s">
        <v>68</v>
      </c>
      <c r="B2344" t="s">
        <v>147</v>
      </c>
      <c r="C2344" s="4">
        <f>(0.0572052587068733/(0.0900940072589024+0.00396421732885982+0.0572052587068733+0.752028927432513)) * 0.153100965893873%</f>
        <v>9.6958418538918898E-5</v>
      </c>
      <c r="D2344" t="s">
        <v>256</v>
      </c>
      <c r="E2344" t="s">
        <v>281</v>
      </c>
      <c r="F2344" t="s">
        <v>442</v>
      </c>
      <c r="G2344" s="4" t="s">
        <v>245</v>
      </c>
    </row>
    <row r="2345" spans="1:7" hidden="1" x14ac:dyDescent="0.2">
      <c r="A2345" t="s">
        <v>68</v>
      </c>
      <c r="B2345" t="s">
        <v>147</v>
      </c>
      <c r="C2345" s="4">
        <f>(0.752028927432513/(0.0900940072589024+0.00396421732885982+0.0572052587068733+0.752028927432513)) * 0.153100965893873%</f>
        <v>1.2746299404571167E-3</v>
      </c>
      <c r="D2345" t="s">
        <v>256</v>
      </c>
      <c r="E2345" t="s">
        <v>367</v>
      </c>
      <c r="F2345" t="s">
        <v>442</v>
      </c>
      <c r="G2345" s="4" t="s">
        <v>245</v>
      </c>
    </row>
    <row r="2346" spans="1:7" hidden="1" x14ac:dyDescent="0.2">
      <c r="A2346" t="s">
        <v>68</v>
      </c>
      <c r="B2346" t="s">
        <v>186</v>
      </c>
      <c r="C2346" s="4">
        <f>(0.0900940072589024/(0.0900940072589024+0.00396421732885982+0.0572052587068733+0.752028927432513)) * 0.0312729233493104%</f>
        <v>3.1191482954802926E-5</v>
      </c>
      <c r="D2346" t="s">
        <v>242</v>
      </c>
      <c r="E2346" t="s">
        <v>371</v>
      </c>
      <c r="F2346" t="s">
        <v>442</v>
      </c>
      <c r="G2346" s="4" t="s">
        <v>245</v>
      </c>
    </row>
    <row r="2347" spans="1:7" hidden="1" x14ac:dyDescent="0.2">
      <c r="A2347" t="s">
        <v>68</v>
      </c>
      <c r="B2347" t="s">
        <v>186</v>
      </c>
      <c r="C2347" s="4">
        <f>(0.00396421732885982/(0.0900940072589024+0.00396421732885982+0.0572052587068733+0.752028927432513))  * 0.0312729233493104%</f>
        <v>1.3724532963322857E-6</v>
      </c>
      <c r="D2347" t="s">
        <v>256</v>
      </c>
      <c r="E2347" t="s">
        <v>366</v>
      </c>
      <c r="F2347" t="s">
        <v>442</v>
      </c>
      <c r="G2347" s="4" t="s">
        <v>245</v>
      </c>
    </row>
    <row r="2348" spans="1:7" hidden="1" x14ac:dyDescent="0.2">
      <c r="A2348" t="s">
        <v>68</v>
      </c>
      <c r="B2348" t="s">
        <v>186</v>
      </c>
      <c r="C2348" s="4">
        <f>(0.0572052587068733/(0.0900940072589024+0.00396421732885982+0.0572052587068733+0.752028927432513)) * 0.0312729233493104%</f>
        <v>1.9805055920677981E-5</v>
      </c>
      <c r="D2348" t="s">
        <v>256</v>
      </c>
      <c r="E2348" t="s">
        <v>281</v>
      </c>
      <c r="F2348" t="s">
        <v>442</v>
      </c>
      <c r="G2348" s="4" t="s">
        <v>245</v>
      </c>
    </row>
    <row r="2349" spans="1:7" hidden="1" x14ac:dyDescent="0.2">
      <c r="A2349" t="s">
        <v>68</v>
      </c>
      <c r="B2349" t="s">
        <v>186</v>
      </c>
      <c r="C2349" s="4">
        <f>(0.752028927432513/(0.0900940072589024+0.00396421732885982+0.0572052587068733+0.752028927432513)) * 0.0312729233493104%</f>
        <v>2.6036024132129081E-4</v>
      </c>
      <c r="D2349" t="s">
        <v>256</v>
      </c>
      <c r="E2349" t="s">
        <v>367</v>
      </c>
      <c r="F2349" t="s">
        <v>442</v>
      </c>
      <c r="G2349" s="4" t="s">
        <v>245</v>
      </c>
    </row>
    <row r="2350" spans="1:7" hidden="1" x14ac:dyDescent="0.2">
      <c r="A2350" t="s">
        <v>68</v>
      </c>
      <c r="B2350" t="s">
        <v>116</v>
      </c>
      <c r="C2350" s="4">
        <v>1.3383720618922649E-2</v>
      </c>
      <c r="D2350" t="s">
        <v>289</v>
      </c>
      <c r="E2350" t="s">
        <v>366</v>
      </c>
      <c r="F2350" t="s">
        <v>442</v>
      </c>
      <c r="G2350" s="4" t="s">
        <v>245</v>
      </c>
    </row>
    <row r="2351" spans="1:7" hidden="1" x14ac:dyDescent="0.2">
      <c r="A2351" t="s">
        <v>68</v>
      </c>
      <c r="B2351" t="s">
        <v>145</v>
      </c>
      <c r="C2351" s="4">
        <v>5.1057201238634387E-2</v>
      </c>
      <c r="D2351" t="s">
        <v>312</v>
      </c>
      <c r="E2351" t="s">
        <v>367</v>
      </c>
      <c r="F2351" t="s">
        <v>442</v>
      </c>
      <c r="G2351" s="4" t="s">
        <v>245</v>
      </c>
    </row>
    <row r="2352" spans="1:7" hidden="1" x14ac:dyDescent="0.2">
      <c r="A2352" t="s">
        <v>68</v>
      </c>
      <c r="B2352" t="s">
        <v>86</v>
      </c>
      <c r="C2352" s="4">
        <f>(0.0900940072589024/(0.0900940072589024+0.00396421732885982+0.0572052587068733+0.752028927432513)) * 12.7714921573156%</f>
        <v>1.273823286306533E-2</v>
      </c>
      <c r="D2352" t="s">
        <v>242</v>
      </c>
      <c r="E2352" t="s">
        <v>371</v>
      </c>
      <c r="F2352" t="s">
        <v>442</v>
      </c>
      <c r="G2352" s="4" t="s">
        <v>245</v>
      </c>
    </row>
    <row r="2353" spans="1:7" hidden="1" x14ac:dyDescent="0.2">
      <c r="A2353" t="s">
        <v>68</v>
      </c>
      <c r="B2353" t="s">
        <v>86</v>
      </c>
      <c r="C2353" s="4">
        <f>(0.00396421732885982/(0.0900940072589024+0.00396421732885982+0.0572052587068733+0.752028927432513))  * 12.7714921573156%</f>
        <v>5.604936997607628E-4</v>
      </c>
      <c r="D2353" t="s">
        <v>256</v>
      </c>
      <c r="E2353" t="s">
        <v>366</v>
      </c>
      <c r="F2353" t="s">
        <v>442</v>
      </c>
      <c r="G2353" s="4" t="s">
        <v>245</v>
      </c>
    </row>
    <row r="2354" spans="1:7" hidden="1" x14ac:dyDescent="0.2">
      <c r="A2354" t="s">
        <v>68</v>
      </c>
      <c r="B2354" t="s">
        <v>86</v>
      </c>
      <c r="C2354" s="4">
        <f>(0.0572052587068733/(0.0900940072589024+0.00396421732885982+0.0572052587068733+0.752028927432513)) * 12.7714921573156%</f>
        <v>8.0881506836076884E-3</v>
      </c>
      <c r="D2354" t="s">
        <v>256</v>
      </c>
      <c r="E2354" t="s">
        <v>281</v>
      </c>
      <c r="F2354" t="s">
        <v>442</v>
      </c>
      <c r="G2354" s="4" t="s">
        <v>245</v>
      </c>
    </row>
    <row r="2355" spans="1:7" hidden="1" x14ac:dyDescent="0.2">
      <c r="A2355" t="s">
        <v>68</v>
      </c>
      <c r="B2355" t="s">
        <v>86</v>
      </c>
      <c r="C2355" s="4">
        <f>(0.752028927432513/(0.0900940072589024+0.00396421732885982+0.0572052587068733+0.752028927432513)) * 12.7714921573156%</f>
        <v>0.10632804432672223</v>
      </c>
      <c r="D2355" t="s">
        <v>256</v>
      </c>
      <c r="E2355" t="s">
        <v>367</v>
      </c>
      <c r="F2355" t="s">
        <v>442</v>
      </c>
      <c r="G2355" s="4" t="s">
        <v>245</v>
      </c>
    </row>
    <row r="2356" spans="1:7" hidden="1" x14ac:dyDescent="0.2">
      <c r="A2356" t="s">
        <v>68</v>
      </c>
      <c r="B2356" t="s">
        <v>87</v>
      </c>
      <c r="C2356" s="4">
        <f>(0.0900940072589024/(0.0900940072589024+0.00396421732885982+0.0572052587068733+0.752028927432513)) * 0.0661661726838398%</f>
        <v>6.5993863905852132E-5</v>
      </c>
      <c r="D2356" t="s">
        <v>242</v>
      </c>
      <c r="E2356" t="s">
        <v>371</v>
      </c>
      <c r="F2356" t="s">
        <v>442</v>
      </c>
      <c r="G2356" s="4" t="s">
        <v>245</v>
      </c>
    </row>
    <row r="2357" spans="1:7" hidden="1" x14ac:dyDescent="0.2">
      <c r="A2357" t="s">
        <v>68</v>
      </c>
      <c r="B2357" t="s">
        <v>87</v>
      </c>
      <c r="C2357" s="4">
        <f>(0.00396421732885982/(0.0900940072589024+0.00396421732885982+0.0572052587068733+0.752028927432513))  * 0.0661661726838398%</f>
        <v>2.9037893512961152E-6</v>
      </c>
      <c r="D2357" t="s">
        <v>256</v>
      </c>
      <c r="E2357" t="s">
        <v>366</v>
      </c>
      <c r="F2357" t="s">
        <v>442</v>
      </c>
      <c r="G2357" s="4" t="s">
        <v>245</v>
      </c>
    </row>
    <row r="2358" spans="1:7" hidden="1" x14ac:dyDescent="0.2">
      <c r="A2358" t="s">
        <v>68</v>
      </c>
      <c r="B2358" t="s">
        <v>87</v>
      </c>
      <c r="C2358" s="4">
        <f>(0.0572052587068733/(0.0900940072589024+0.00396421732885982+0.0572052587068733+0.752028927432513)) * 0.0661661726838398%</f>
        <v>4.1902854281436382E-5</v>
      </c>
      <c r="D2358" t="s">
        <v>256</v>
      </c>
      <c r="E2358" t="s">
        <v>281</v>
      </c>
      <c r="F2358" t="s">
        <v>442</v>
      </c>
      <c r="G2358" s="4" t="s">
        <v>245</v>
      </c>
    </row>
    <row r="2359" spans="1:7" hidden="1" x14ac:dyDescent="0.2">
      <c r="A2359" t="s">
        <v>68</v>
      </c>
      <c r="B2359" t="s">
        <v>87</v>
      </c>
      <c r="C2359" s="4">
        <f>(0.752028927432513/(0.0900940072589024+0.00396421732885982+0.0572052587068733+0.752028927432513)) * 0.0661661726838398%</f>
        <v>5.5086121929981337E-4</v>
      </c>
      <c r="D2359" t="s">
        <v>256</v>
      </c>
      <c r="E2359" t="s">
        <v>367</v>
      </c>
      <c r="F2359" t="s">
        <v>442</v>
      </c>
      <c r="G2359" s="4" t="s">
        <v>245</v>
      </c>
    </row>
    <row r="2360" spans="1:7" hidden="1" x14ac:dyDescent="0.2">
      <c r="A2360" t="s">
        <v>68</v>
      </c>
      <c r="B2360" t="s">
        <v>159</v>
      </c>
      <c r="C2360" s="4">
        <f>(0.0900940072589024/(0.0900940072589024+0.00396421732885982+0.0572052587068733+0.752028927432513)) * 0.012476290644379%</f>
        <v>1.2443800108693581E-5</v>
      </c>
      <c r="D2360" t="s">
        <v>242</v>
      </c>
      <c r="E2360" t="s">
        <v>371</v>
      </c>
      <c r="F2360" t="s">
        <v>442</v>
      </c>
      <c r="G2360" s="4" t="s">
        <v>245</v>
      </c>
    </row>
    <row r="2361" spans="1:7" hidden="1" x14ac:dyDescent="0.2">
      <c r="A2361" t="s">
        <v>68</v>
      </c>
      <c r="B2361" t="s">
        <v>159</v>
      </c>
      <c r="C2361" s="4">
        <f>(0.00396421732885982/(0.0900940072589024+0.00396421732885982+0.0572052587068733+0.752028927432513))  * 0.012476290644379%</f>
        <v>5.4753839382448396E-7</v>
      </c>
      <c r="D2361" t="s">
        <v>256</v>
      </c>
      <c r="E2361" t="s">
        <v>366</v>
      </c>
      <c r="F2361" t="s">
        <v>442</v>
      </c>
      <c r="G2361" s="4" t="s">
        <v>245</v>
      </c>
    </row>
    <row r="2362" spans="1:7" hidden="1" x14ac:dyDescent="0.2">
      <c r="A2362" t="s">
        <v>68</v>
      </c>
      <c r="B2362" t="s">
        <v>159</v>
      </c>
      <c r="C2362" s="4">
        <f>(0.0572052587068733/(0.0900940072589024+0.00396421732885982+0.0572052587068733+0.752028927432513)) * 0.012476290644379%</f>
        <v>7.9012003813837977E-6</v>
      </c>
      <c r="D2362" t="s">
        <v>256</v>
      </c>
      <c r="E2362" t="s">
        <v>281</v>
      </c>
      <c r="F2362" t="s">
        <v>442</v>
      </c>
      <c r="G2362" s="4" t="s">
        <v>245</v>
      </c>
    </row>
    <row r="2363" spans="1:7" hidden="1" x14ac:dyDescent="0.2">
      <c r="A2363" t="s">
        <v>68</v>
      </c>
      <c r="B2363" t="s">
        <v>159</v>
      </c>
      <c r="C2363" s="4">
        <f>(0.752028927432513/(0.0900940072589024+0.00396421732885982+0.0572052587068733+0.752028927432513)) * 0.012476290644379%</f>
        <v>1.0387036755988815E-4</v>
      </c>
      <c r="D2363" t="s">
        <v>256</v>
      </c>
      <c r="E2363" t="s">
        <v>367</v>
      </c>
      <c r="F2363" t="s">
        <v>442</v>
      </c>
      <c r="G2363" s="4" t="s">
        <v>245</v>
      </c>
    </row>
    <row r="2364" spans="1:7" hidden="1" x14ac:dyDescent="0.2">
      <c r="A2364" t="s">
        <v>68</v>
      </c>
      <c r="B2364" t="s">
        <v>166</v>
      </c>
      <c r="C2364" s="4">
        <f>(0.0900940072589024/(0.0900940072589024+0.00396421732885982+0.0572052587068733+0.752028927432513)) * 0.000632621325614981%</f>
        <v>6.3097386433493211E-7</v>
      </c>
      <c r="D2364" t="s">
        <v>242</v>
      </c>
      <c r="E2364" t="s">
        <v>371</v>
      </c>
      <c r="F2364" t="s">
        <v>442</v>
      </c>
      <c r="G2364" s="4" t="s">
        <v>245</v>
      </c>
    </row>
    <row r="2365" spans="1:7" hidden="1" x14ac:dyDescent="0.2">
      <c r="A2365" t="s">
        <v>68</v>
      </c>
      <c r="B2365" t="s">
        <v>166</v>
      </c>
      <c r="C2365" s="4">
        <f>(0.00396421732885982/(0.0900940072589024+0.00396421732885982+0.0572052587068733+0.752028927432513))  * 0.000632621325614981%</f>
        <v>2.7763417380982601E-8</v>
      </c>
      <c r="D2365" t="s">
        <v>256</v>
      </c>
      <c r="E2365" t="s">
        <v>366</v>
      </c>
      <c r="F2365" t="s">
        <v>442</v>
      </c>
      <c r="G2365" s="4" t="s">
        <v>245</v>
      </c>
    </row>
    <row r="2366" spans="1:7" hidden="1" x14ac:dyDescent="0.2">
      <c r="A2366" t="s">
        <v>68</v>
      </c>
      <c r="B2366" t="s">
        <v>166</v>
      </c>
      <c r="C2366" s="4">
        <f>(0.0572052587068733/(0.0900940072589024+0.00396421732885982+0.0572052587068733+0.752028927432513)) * 0.000632621325614981%</f>
        <v>4.0063733698546004E-7</v>
      </c>
      <c r="D2366" t="s">
        <v>256</v>
      </c>
      <c r="E2366" t="s">
        <v>281</v>
      </c>
      <c r="F2366" t="s">
        <v>442</v>
      </c>
      <c r="G2366" s="4" t="s">
        <v>245</v>
      </c>
    </row>
    <row r="2367" spans="1:7" hidden="1" x14ac:dyDescent="0.2">
      <c r="A2367" t="s">
        <v>68</v>
      </c>
      <c r="B2367" t="s">
        <v>166</v>
      </c>
      <c r="C2367" s="4">
        <f>(0.752028927432513/(0.0900940072589024+0.00396421732885982+0.0572052587068733+0.752028927432513)) * 0.000632621325614981%</f>
        <v>5.2668386374484357E-6</v>
      </c>
      <c r="D2367" t="s">
        <v>256</v>
      </c>
      <c r="E2367" t="s">
        <v>367</v>
      </c>
      <c r="F2367" t="s">
        <v>442</v>
      </c>
      <c r="G2367" s="4" t="s">
        <v>245</v>
      </c>
    </row>
    <row r="2368" spans="1:7" hidden="1" x14ac:dyDescent="0.2">
      <c r="A2368" t="s">
        <v>68</v>
      </c>
      <c r="B2368" t="s">
        <v>89</v>
      </c>
      <c r="C2368" s="4">
        <f>(0.0900940072589024/(0.0900940072589024+0.00396421732885982+0.0572052587068733+0.752028927432513)) * 0.436314965219624%</f>
        <v>4.3517872149529736E-4</v>
      </c>
      <c r="D2368" t="s">
        <v>242</v>
      </c>
      <c r="E2368" t="s">
        <v>371</v>
      </c>
      <c r="F2368" t="s">
        <v>442</v>
      </c>
      <c r="G2368" s="4" t="s">
        <v>245</v>
      </c>
    </row>
    <row r="2369" spans="1:7" hidden="1" x14ac:dyDescent="0.2">
      <c r="A2369" t="s">
        <v>68</v>
      </c>
      <c r="B2369" t="s">
        <v>89</v>
      </c>
      <c r="C2369" s="4">
        <f>(0.00396421732885982/(0.0900940072589024+0.00396421732885982+0.0572052587068733+0.752028927432513))  * 0.436314965219624%</f>
        <v>1.91482550437033E-5</v>
      </c>
      <c r="D2369" t="s">
        <v>256</v>
      </c>
      <c r="E2369" t="s">
        <v>366</v>
      </c>
      <c r="F2369" t="s">
        <v>442</v>
      </c>
      <c r="G2369" s="4" t="s">
        <v>245</v>
      </c>
    </row>
    <row r="2370" spans="1:7" hidden="1" x14ac:dyDescent="0.2">
      <c r="A2370" t="s">
        <v>68</v>
      </c>
      <c r="B2370" t="s">
        <v>89</v>
      </c>
      <c r="C2370" s="4">
        <f>(0.0572052587068733/(0.0900940072589024+0.00396421732885982+0.0572052587068733+0.752028927432513)) * 0.436314965219624%</f>
        <v>2.7631706152580934E-4</v>
      </c>
      <c r="D2370" t="s">
        <v>256</v>
      </c>
      <c r="E2370" t="s">
        <v>281</v>
      </c>
      <c r="F2370" t="s">
        <v>442</v>
      </c>
      <c r="G2370" s="4" t="s">
        <v>245</v>
      </c>
    </row>
    <row r="2371" spans="1:7" hidden="1" x14ac:dyDescent="0.2">
      <c r="A2371" t="s">
        <v>68</v>
      </c>
      <c r="B2371" t="s">
        <v>89</v>
      </c>
      <c r="C2371" s="4">
        <f>(0.752028927432513/(0.0900940072589024+0.00396421732885982+0.0572052587068733+0.752028927432513)) * 0.436314965219624%</f>
        <v>3.63250561413143E-3</v>
      </c>
      <c r="D2371" t="s">
        <v>256</v>
      </c>
      <c r="E2371" t="s">
        <v>367</v>
      </c>
      <c r="F2371" t="s">
        <v>442</v>
      </c>
      <c r="G2371" s="4" t="s">
        <v>245</v>
      </c>
    </row>
    <row r="2372" spans="1:7" hidden="1" x14ac:dyDescent="0.2">
      <c r="A2372" t="s">
        <v>68</v>
      </c>
      <c r="B2372" t="s">
        <v>167</v>
      </c>
      <c r="C2372" s="4">
        <f>(0.0900940072589024/(0.0900940072589024+0.00396421732885982+0.0572052587068733+0.752028927432513)) * 0.00529655232826371%</f>
        <v>5.2827591402612589E-6</v>
      </c>
      <c r="D2372" t="s">
        <v>242</v>
      </c>
      <c r="E2372" t="s">
        <v>371</v>
      </c>
      <c r="F2372" t="s">
        <v>442</v>
      </c>
      <c r="G2372" s="4" t="s">
        <v>245</v>
      </c>
    </row>
    <row r="2373" spans="1:7" hidden="1" x14ac:dyDescent="0.2">
      <c r="A2373" t="s">
        <v>68</v>
      </c>
      <c r="B2373" t="s">
        <v>167</v>
      </c>
      <c r="C2373" s="4">
        <f>(0.00396421732885982/(0.0900940072589024+0.00396421732885982+0.0572052587068733+0.752028927432513))  * 0.00529655232826371%</f>
        <v>2.3244615224889958E-7</v>
      </c>
      <c r="D2373" t="s">
        <v>256</v>
      </c>
      <c r="E2373" t="s">
        <v>366</v>
      </c>
      <c r="F2373" t="s">
        <v>442</v>
      </c>
      <c r="G2373" s="4" t="s">
        <v>245</v>
      </c>
    </row>
    <row r="2374" spans="1:7" hidden="1" x14ac:dyDescent="0.2">
      <c r="A2374" t="s">
        <v>68</v>
      </c>
      <c r="B2374" t="s">
        <v>167</v>
      </c>
      <c r="C2374" s="4">
        <f>(0.0572052587068733/(0.0900940072589024+0.00396421732885982+0.0572052587068733+0.752028927432513)) * 0.00529655232826371%</f>
        <v>3.3542919501439274E-6</v>
      </c>
      <c r="D2374" t="s">
        <v>256</v>
      </c>
      <c r="E2374" t="s">
        <v>281</v>
      </c>
      <c r="F2374" t="s">
        <v>442</v>
      </c>
      <c r="G2374" s="4" t="s">
        <v>245</v>
      </c>
    </row>
    <row r="2375" spans="1:7" hidden="1" x14ac:dyDescent="0.2">
      <c r="A2375" t="s">
        <v>68</v>
      </c>
      <c r="B2375" t="s">
        <v>167</v>
      </c>
      <c r="C2375" s="4">
        <f>(0.752028927432513/(0.0900940072589024+0.00396421732885982+0.0572052587068733+0.752028927432513)) * 0.00529655232826371%</f>
        <v>4.4096026039983022E-5</v>
      </c>
      <c r="D2375" t="s">
        <v>256</v>
      </c>
      <c r="E2375" t="s">
        <v>367</v>
      </c>
      <c r="F2375" t="s">
        <v>442</v>
      </c>
      <c r="G2375" s="4" t="s">
        <v>245</v>
      </c>
    </row>
    <row r="2376" spans="1:7" hidden="1" x14ac:dyDescent="0.2">
      <c r="A2376" t="s">
        <v>68</v>
      </c>
      <c r="B2376" t="s">
        <v>168</v>
      </c>
      <c r="C2376" s="4">
        <f>(0.0900940072589024/(0.0900940072589024+0.00396421732885982+0.0572052587068733+0.752028927432513)) * 0.154805814315454%</f>
        <v>1.5440267174866932E-4</v>
      </c>
      <c r="D2376" t="s">
        <v>242</v>
      </c>
      <c r="E2376" t="s">
        <v>371</v>
      </c>
      <c r="F2376" t="s">
        <v>442</v>
      </c>
      <c r="G2376" s="4" t="s">
        <v>245</v>
      </c>
    </row>
    <row r="2377" spans="1:7" hidden="1" x14ac:dyDescent="0.2">
      <c r="A2377" t="s">
        <v>68</v>
      </c>
      <c r="B2377" t="s">
        <v>168</v>
      </c>
      <c r="C2377" s="4">
        <f>(0.00396421732885982/(0.0900940072589024+0.00396421732885982+0.0572052587068733+0.752028927432513))  * 0.154805814315454%</f>
        <v>6.7938563905741688E-6</v>
      </c>
      <c r="D2377" t="s">
        <v>256</v>
      </c>
      <c r="E2377" t="s">
        <v>366</v>
      </c>
      <c r="F2377" t="s">
        <v>442</v>
      </c>
      <c r="G2377" s="4" t="s">
        <v>245</v>
      </c>
    </row>
    <row r="2378" spans="1:7" hidden="1" x14ac:dyDescent="0.2">
      <c r="A2378" t="s">
        <v>68</v>
      </c>
      <c r="B2378" t="s">
        <v>168</v>
      </c>
      <c r="C2378" s="4">
        <f>(0.0572052587068733/(0.0900940072589024+0.00396421732885982+0.0572052587068733+0.752028927432513)) * 0.154805814315454%</f>
        <v>9.8038094332209767E-5</v>
      </c>
      <c r="D2378" t="s">
        <v>256</v>
      </c>
      <c r="E2378" t="s">
        <v>281</v>
      </c>
      <c r="F2378" t="s">
        <v>442</v>
      </c>
      <c r="G2378" s="4" t="s">
        <v>245</v>
      </c>
    </row>
    <row r="2379" spans="1:7" hidden="1" x14ac:dyDescent="0.2">
      <c r="A2379" t="s">
        <v>68</v>
      </c>
      <c r="B2379" t="s">
        <v>168</v>
      </c>
      <c r="C2379" s="4">
        <f>(0.752028927432513/(0.0900940072589024+0.00396421732885982+0.0572052587068733+0.752028927432513)) * 0.154805814315454%</f>
        <v>1.2888235206830868E-3</v>
      </c>
      <c r="D2379" t="s">
        <v>256</v>
      </c>
      <c r="E2379" t="s">
        <v>367</v>
      </c>
      <c r="F2379" t="s">
        <v>442</v>
      </c>
      <c r="G2379" s="4" t="s">
        <v>245</v>
      </c>
    </row>
    <row r="2380" spans="1:7" hidden="1" x14ac:dyDescent="0.2">
      <c r="A2380" t="s">
        <v>68</v>
      </c>
      <c r="B2380" t="s">
        <v>193</v>
      </c>
      <c r="C2380" s="4">
        <f>(0.0900940072589024/(0.0900940072589024+0.00396421732885982+0.0572052587068733+0.752028927432513)) * 0.00186410460216015%</f>
        <v>1.8592501338871522E-6</v>
      </c>
      <c r="D2380" t="s">
        <v>242</v>
      </c>
      <c r="E2380" t="s">
        <v>371</v>
      </c>
      <c r="F2380" t="s">
        <v>442</v>
      </c>
      <c r="G2380" s="4" t="s">
        <v>245</v>
      </c>
    </row>
    <row r="2381" spans="1:7" hidden="1" x14ac:dyDescent="0.2">
      <c r="A2381" t="s">
        <v>68</v>
      </c>
      <c r="B2381" t="s">
        <v>193</v>
      </c>
      <c r="C2381" s="4">
        <f>(0.00396421732885982/(0.0900940072589024+0.00396421732885982+0.0572052587068733+0.752028927432513))  * 0.00186410460216015%</f>
        <v>8.1808677665540251E-8</v>
      </c>
      <c r="D2381" t="s">
        <v>256</v>
      </c>
      <c r="E2381" t="s">
        <v>366</v>
      </c>
      <c r="F2381" t="s">
        <v>442</v>
      </c>
      <c r="G2381" s="4" t="s">
        <v>245</v>
      </c>
    </row>
    <row r="2382" spans="1:7" hidden="1" x14ac:dyDescent="0.2">
      <c r="A2382" t="s">
        <v>68</v>
      </c>
      <c r="B2382" t="s">
        <v>193</v>
      </c>
      <c r="C2382" s="4">
        <f>(0.0572052587068733/(0.0900940072589024+0.00396421732885982+0.0572052587068733+0.752028927432513)) * 0.00186410460216015%</f>
        <v>1.18053229227734E-6</v>
      </c>
      <c r="D2382" t="s">
        <v>256</v>
      </c>
      <c r="E2382" t="s">
        <v>281</v>
      </c>
      <c r="F2382" t="s">
        <v>442</v>
      </c>
      <c r="G2382" s="4" t="s">
        <v>245</v>
      </c>
    </row>
    <row r="2383" spans="1:7" hidden="1" x14ac:dyDescent="0.2">
      <c r="A2383" t="s">
        <v>68</v>
      </c>
      <c r="B2383" t="s">
        <v>193</v>
      </c>
      <c r="C2383" s="4">
        <f>(0.752028927432513/(0.0900940072589024+0.00396421732885982+0.0572052587068733+0.752028927432513)) * 0.00186410460216015%</f>
        <v>1.5519454917771471E-5</v>
      </c>
      <c r="D2383" t="s">
        <v>256</v>
      </c>
      <c r="E2383" t="s">
        <v>367</v>
      </c>
      <c r="F2383" t="s">
        <v>442</v>
      </c>
      <c r="G2383" s="4" t="s">
        <v>245</v>
      </c>
    </row>
    <row r="2384" spans="1:7" hidden="1" x14ac:dyDescent="0.2">
      <c r="A2384" t="s">
        <v>68</v>
      </c>
      <c r="B2384" t="s">
        <v>90</v>
      </c>
      <c r="C2384" s="4">
        <f>(0.0900940072589024/(0.0900940072589024+0.00396421732885982+0.0572052587068733+0.752028927432513)) * 0.00183548252362305%</f>
        <v>1.8307025924613305E-6</v>
      </c>
      <c r="D2384" t="s">
        <v>242</v>
      </c>
      <c r="E2384" t="s">
        <v>371</v>
      </c>
      <c r="F2384" t="s">
        <v>442</v>
      </c>
      <c r="G2384" s="4" t="s">
        <v>245</v>
      </c>
    </row>
    <row r="2385" spans="1:7" hidden="1" x14ac:dyDescent="0.2">
      <c r="A2385" t="s">
        <v>68</v>
      </c>
      <c r="B2385" t="s">
        <v>90</v>
      </c>
      <c r="C2385" s="4">
        <f>(0.00396421732885982/(0.0900940072589024+0.00396421732885982+0.0572052587068733+0.752028927432513))  * 0.00183548252362305%</f>
        <v>8.0552560173825466E-8</v>
      </c>
      <c r="D2385" t="s">
        <v>256</v>
      </c>
      <c r="E2385" t="s">
        <v>366</v>
      </c>
      <c r="F2385" t="s">
        <v>442</v>
      </c>
      <c r="G2385" s="4" t="s">
        <v>245</v>
      </c>
    </row>
    <row r="2386" spans="1:7" hidden="1" x14ac:dyDescent="0.2">
      <c r="A2386" t="s">
        <v>68</v>
      </c>
      <c r="B2386" t="s">
        <v>90</v>
      </c>
      <c r="C2386" s="4">
        <f>(0.0572052587068733/(0.0900940072589024+0.00396421732885982+0.0572052587068733+0.752028927432513)) * 0.00183548252362305%</f>
        <v>1.1624060090494625E-6</v>
      </c>
      <c r="D2386" t="s">
        <v>256</v>
      </c>
      <c r="E2386" t="s">
        <v>281</v>
      </c>
      <c r="F2386" t="s">
        <v>442</v>
      </c>
      <c r="G2386" s="4" t="s">
        <v>245</v>
      </c>
    </row>
    <row r="2387" spans="1:7" hidden="1" x14ac:dyDescent="0.2">
      <c r="A2387" t="s">
        <v>68</v>
      </c>
      <c r="B2387" t="s">
        <v>90</v>
      </c>
      <c r="C2387" s="4">
        <f>(0.752028927432513/(0.0900940072589024+0.00396421732885982+0.0572052587068733+0.752028927432513)) * 0.00183548252362305%</f>
        <v>1.5281164074545882E-5</v>
      </c>
      <c r="D2387" t="s">
        <v>256</v>
      </c>
      <c r="E2387" t="s">
        <v>367</v>
      </c>
      <c r="F2387" t="s">
        <v>442</v>
      </c>
      <c r="G2387" s="4" t="s">
        <v>245</v>
      </c>
    </row>
    <row r="2388" spans="1:7" hidden="1" x14ac:dyDescent="0.2">
      <c r="A2388" t="s">
        <v>68</v>
      </c>
      <c r="B2388" t="s">
        <v>154</v>
      </c>
      <c r="C2388" s="4">
        <f>(0.0900940072589024/(0.0900940072589024+0.00396421732885982+0.0572052587068733+0.752028927432513)) * 0.122660284520487%</f>
        <v>1.223408547744998E-4</v>
      </c>
      <c r="D2388" t="s">
        <v>242</v>
      </c>
      <c r="E2388" t="s">
        <v>371</v>
      </c>
      <c r="F2388" t="s">
        <v>442</v>
      </c>
      <c r="G2388" s="4" t="s">
        <v>245</v>
      </c>
    </row>
    <row r="2389" spans="1:7" hidden="1" x14ac:dyDescent="0.2">
      <c r="A2389" t="s">
        <v>68</v>
      </c>
      <c r="B2389" t="s">
        <v>154</v>
      </c>
      <c r="C2389" s="4">
        <f>(0.00396421732885982/(0.0900940072589024+0.00396421732885982+0.0572052587068733+0.752028927432513))  * 0.122660284520487%</f>
        <v>5.3831076148149931E-6</v>
      </c>
      <c r="D2389" t="s">
        <v>256</v>
      </c>
      <c r="E2389" t="s">
        <v>366</v>
      </c>
      <c r="F2389" t="s">
        <v>442</v>
      </c>
      <c r="G2389" s="4" t="s">
        <v>245</v>
      </c>
    </row>
    <row r="2390" spans="1:7" hidden="1" x14ac:dyDescent="0.2">
      <c r="A2390" t="s">
        <v>68</v>
      </c>
      <c r="B2390" t="s">
        <v>154</v>
      </c>
      <c r="C2390" s="4">
        <f>(0.0572052587068733/(0.0900940072589024+0.00396421732885982+0.0572052587068733+0.752028927432513)) * 0.122660284520487%</f>
        <v>7.7680419161328099E-5</v>
      </c>
      <c r="D2390" t="s">
        <v>256</v>
      </c>
      <c r="E2390" t="s">
        <v>281</v>
      </c>
      <c r="F2390" t="s">
        <v>442</v>
      </c>
      <c r="G2390" s="4" t="s">
        <v>245</v>
      </c>
    </row>
    <row r="2391" spans="1:7" hidden="1" x14ac:dyDescent="0.2">
      <c r="A2391" t="s">
        <v>68</v>
      </c>
      <c r="B2391" t="s">
        <v>154</v>
      </c>
      <c r="C2391" s="4">
        <f>(0.752028927432513/(0.0900940072589024+0.00396421732885982+0.0572052587068733+0.752028927432513)) * 0.122660284520487%</f>
        <v>1.0211984636542271E-3</v>
      </c>
      <c r="D2391" t="s">
        <v>256</v>
      </c>
      <c r="E2391" t="s">
        <v>367</v>
      </c>
      <c r="F2391" t="s">
        <v>442</v>
      </c>
      <c r="G2391" s="4" t="s">
        <v>245</v>
      </c>
    </row>
    <row r="2392" spans="1:7" hidden="1" x14ac:dyDescent="0.2">
      <c r="A2392" t="s">
        <v>68</v>
      </c>
      <c r="B2392" t="s">
        <v>169</v>
      </c>
      <c r="C2392" s="4">
        <f>(0.0900940072589024/(0.0900940072589024+0.00396421732885982+0.0572052587068733+0.752028927432513)) * 0.0505950280602051%</f>
        <v>5.0463269381960817E-5</v>
      </c>
      <c r="D2392" t="s">
        <v>242</v>
      </c>
      <c r="E2392" t="s">
        <v>371</v>
      </c>
      <c r="F2392" t="s">
        <v>442</v>
      </c>
      <c r="G2392" s="4" t="s">
        <v>245</v>
      </c>
    </row>
    <row r="2393" spans="1:7" hidden="1" x14ac:dyDescent="0.2">
      <c r="A2393" t="s">
        <v>68</v>
      </c>
      <c r="B2393" t="s">
        <v>169</v>
      </c>
      <c r="C2393" s="4">
        <f>(0.00396421732885982/(0.0900940072589024+0.00396421732885982+0.0572052587068733+0.752028927432513))  * 0.0505950280602051%</f>
        <v>2.220429227662344E-6</v>
      </c>
      <c r="D2393" t="s">
        <v>256</v>
      </c>
      <c r="E2393" t="s">
        <v>366</v>
      </c>
      <c r="F2393" t="s">
        <v>442</v>
      </c>
      <c r="G2393" s="4" t="s">
        <v>245</v>
      </c>
    </row>
    <row r="2394" spans="1:7" hidden="1" x14ac:dyDescent="0.2">
      <c r="A2394" t="s">
        <v>68</v>
      </c>
      <c r="B2394" t="s">
        <v>169</v>
      </c>
      <c r="C2394" s="4">
        <f>(0.0572052587068733/(0.0900940072589024+0.00396421732885982+0.0572052587068733+0.752028927432513)) * 0.0505950280602051%</f>
        <v>3.204169142897635E-5</v>
      </c>
      <c r="D2394" t="s">
        <v>256</v>
      </c>
      <c r="E2394" t="s">
        <v>281</v>
      </c>
      <c r="F2394" t="s">
        <v>442</v>
      </c>
      <c r="G2394" s="4" t="s">
        <v>245</v>
      </c>
    </row>
    <row r="2395" spans="1:7" hidden="1" x14ac:dyDescent="0.2">
      <c r="A2395" t="s">
        <v>68</v>
      </c>
      <c r="B2395" t="s">
        <v>169</v>
      </c>
      <c r="C2395" s="4">
        <f>(0.752028927432513/(0.0900940072589024+0.00396421732885982+0.0572052587068733+0.752028927432513)) * 0.0505950280602051%</f>
        <v>4.2122489056345148E-4</v>
      </c>
      <c r="D2395" t="s">
        <v>256</v>
      </c>
      <c r="E2395" t="s">
        <v>367</v>
      </c>
      <c r="F2395" t="s">
        <v>442</v>
      </c>
      <c r="G2395" s="4" t="s">
        <v>245</v>
      </c>
    </row>
    <row r="2396" spans="1:7" hidden="1" x14ac:dyDescent="0.2">
      <c r="A2396" t="s">
        <v>68</v>
      </c>
      <c r="B2396" t="s">
        <v>117</v>
      </c>
      <c r="C2396" s="4">
        <f>(0.0900940072589024/(0.0900940072589024+0.00396421732885982+0.0572052587068733+0.752028927432513)) * 0.00168796873423951%</f>
        <v>1.683572955882071E-6</v>
      </c>
      <c r="D2396" t="s">
        <v>242</v>
      </c>
      <c r="E2396" t="s">
        <v>371</v>
      </c>
      <c r="F2396" t="s">
        <v>442</v>
      </c>
      <c r="G2396" s="4" t="s">
        <v>245</v>
      </c>
    </row>
    <row r="2397" spans="1:7" hidden="1" x14ac:dyDescent="0.2">
      <c r="A2397" t="s">
        <v>68</v>
      </c>
      <c r="B2397" t="s">
        <v>117</v>
      </c>
      <c r="C2397" s="4">
        <f>(0.00396421732885982/(0.0900940072589024+0.00396421732885982+0.0572052587068733+0.752028927432513))  * 0.00168796873423951%</f>
        <v>7.4078723870371271E-8</v>
      </c>
      <c r="D2397" t="s">
        <v>256</v>
      </c>
      <c r="E2397" t="s">
        <v>366</v>
      </c>
      <c r="F2397" t="s">
        <v>442</v>
      </c>
      <c r="G2397" s="4" t="s">
        <v>245</v>
      </c>
    </row>
    <row r="2398" spans="1:7" hidden="1" x14ac:dyDescent="0.2">
      <c r="A2398" t="s">
        <v>68</v>
      </c>
      <c r="B2398" t="s">
        <v>117</v>
      </c>
      <c r="C2398" s="4">
        <f>(0.0572052587068733/(0.0900940072589024+0.00396421732885982+0.0572052587068733+0.752028927432513)) * 0.00168796873423951%</f>
        <v>1.0689859339519244E-6</v>
      </c>
      <c r="D2398" t="s">
        <v>256</v>
      </c>
      <c r="E2398" t="s">
        <v>281</v>
      </c>
      <c r="F2398" t="s">
        <v>442</v>
      </c>
      <c r="G2398" s="4" t="s">
        <v>245</v>
      </c>
    </row>
    <row r="2399" spans="1:7" hidden="1" x14ac:dyDescent="0.2">
      <c r="A2399" t="s">
        <v>68</v>
      </c>
      <c r="B2399" t="s">
        <v>117</v>
      </c>
      <c r="C2399" s="4">
        <f>(0.752028927432513/(0.0900940072589024+0.00396421732885982+0.0572052587068733+0.752028927432513)) * 0.00168796873423951%</f>
        <v>1.4053049728690733E-5</v>
      </c>
      <c r="D2399" t="s">
        <v>256</v>
      </c>
      <c r="E2399" t="s">
        <v>367</v>
      </c>
      <c r="F2399" t="s">
        <v>442</v>
      </c>
      <c r="G2399" s="4" t="s">
        <v>245</v>
      </c>
    </row>
    <row r="2400" spans="1:7" hidden="1" x14ac:dyDescent="0.2">
      <c r="A2400" t="s">
        <v>68</v>
      </c>
      <c r="B2400" t="s">
        <v>92</v>
      </c>
      <c r="C2400" s="4">
        <f>(0.0900940072589024/(0.0900940072589024+0.00396421732885982+0.0572052587068733+0.752028927432513)) * 0.0102745922953709%</f>
        <v>1.0247835383629968E-5</v>
      </c>
      <c r="D2400" t="s">
        <v>242</v>
      </c>
      <c r="E2400" t="s">
        <v>371</v>
      </c>
      <c r="F2400" t="s">
        <v>442</v>
      </c>
      <c r="G2400" s="4" t="s">
        <v>245</v>
      </c>
    </row>
    <row r="2401" spans="1:7" hidden="1" x14ac:dyDescent="0.2">
      <c r="A2401" t="s">
        <v>68</v>
      </c>
      <c r="B2401" t="s">
        <v>92</v>
      </c>
      <c r="C2401" s="4">
        <f>(0.00396421732885982/(0.0900940072589024+0.00396421732885982+0.0572052587068733+0.752028927432513))  * 0.0102745922953709%</f>
        <v>4.5091397138486732E-7</v>
      </c>
      <c r="D2401" t="s">
        <v>256</v>
      </c>
      <c r="E2401" t="s">
        <v>366</v>
      </c>
      <c r="F2401" t="s">
        <v>442</v>
      </c>
      <c r="G2401" s="4" t="s">
        <v>245</v>
      </c>
    </row>
    <row r="2402" spans="1:7" hidden="1" x14ac:dyDescent="0.2">
      <c r="A2402" t="s">
        <v>68</v>
      </c>
      <c r="B2402" t="s">
        <v>92</v>
      </c>
      <c r="C2402" s="4">
        <f>(0.0572052587068733/(0.0900940072589024+0.00396421732885982+0.0572052587068733+0.752028927432513)) * 0.0102745922953709%</f>
        <v>6.5068709023160433E-6</v>
      </c>
      <c r="D2402" t="s">
        <v>256</v>
      </c>
      <c r="E2402" t="s">
        <v>281</v>
      </c>
      <c r="F2402" t="s">
        <v>442</v>
      </c>
      <c r="G2402" s="4" t="s">
        <v>245</v>
      </c>
    </row>
    <row r="2403" spans="1:7" hidden="1" x14ac:dyDescent="0.2">
      <c r="A2403" t="s">
        <v>68</v>
      </c>
      <c r="B2403" t="s">
        <v>92</v>
      </c>
      <c r="C2403" s="4">
        <f>(0.752028927432513/(0.0900940072589024+0.00396421732885982+0.0572052587068733+0.752028927432513)) * 0.0102745922953709%</f>
        <v>8.5540302696378133E-5</v>
      </c>
      <c r="D2403" t="s">
        <v>256</v>
      </c>
      <c r="E2403" t="s">
        <v>367</v>
      </c>
      <c r="F2403" t="s">
        <v>442</v>
      </c>
      <c r="G2403" s="4" t="s">
        <v>245</v>
      </c>
    </row>
    <row r="2404" spans="1:7" hidden="1" x14ac:dyDescent="0.2">
      <c r="A2404" t="s">
        <v>68</v>
      </c>
      <c r="B2404" t="s">
        <v>93</v>
      </c>
      <c r="C2404" s="4">
        <f>(0.0900940072589024/(0.0900940072589024+0.00396421732885982+0.0572052587068733+0.752028927432513)) * 0.1549261738252%</f>
        <v>1.5452271782030635E-4</v>
      </c>
      <c r="D2404" t="s">
        <v>242</v>
      </c>
      <c r="E2404" t="s">
        <v>371</v>
      </c>
      <c r="F2404" t="s">
        <v>442</v>
      </c>
      <c r="G2404" s="4" t="s">
        <v>245</v>
      </c>
    </row>
    <row r="2405" spans="1:7" hidden="1" x14ac:dyDescent="0.2">
      <c r="A2405" t="s">
        <v>68</v>
      </c>
      <c r="B2405" t="s">
        <v>93</v>
      </c>
      <c r="C2405" s="4">
        <f>(0.00396421732885982/(0.0900940072589024+0.00396421732885982+0.0572052587068733+0.752028927432513))  * 0.1549261738252%</f>
        <v>6.7991385256675447E-6</v>
      </c>
      <c r="D2405" t="s">
        <v>256</v>
      </c>
      <c r="E2405" t="s">
        <v>366</v>
      </c>
      <c r="F2405" t="s">
        <v>442</v>
      </c>
      <c r="G2405" s="4" t="s">
        <v>245</v>
      </c>
    </row>
    <row r="2406" spans="1:7" hidden="1" x14ac:dyDescent="0.2">
      <c r="A2406" t="s">
        <v>68</v>
      </c>
      <c r="B2406" t="s">
        <v>93</v>
      </c>
      <c r="C2406" s="4">
        <f>(0.0572052587068733/(0.0900940072589024+0.00396421732885982+0.0572052587068733+0.752028927432513)) * 0.1549261738252%</f>
        <v>9.8114317677065619E-5</v>
      </c>
      <c r="D2406" t="s">
        <v>256</v>
      </c>
      <c r="E2406" t="s">
        <v>281</v>
      </c>
      <c r="F2406" t="s">
        <v>442</v>
      </c>
      <c r="G2406" s="4" t="s">
        <v>245</v>
      </c>
    </row>
    <row r="2407" spans="1:7" hidden="1" x14ac:dyDescent="0.2">
      <c r="A2407" t="s">
        <v>68</v>
      </c>
      <c r="B2407" t="s">
        <v>93</v>
      </c>
      <c r="C2407" s="4">
        <f>(0.752028927432513/(0.0900940072589024+0.00396421732885982+0.0572052587068733+0.752028927432513)) * 0.1549261738252%</f>
        <v>1.2898255642289605E-3</v>
      </c>
      <c r="D2407" t="s">
        <v>256</v>
      </c>
      <c r="E2407" t="s">
        <v>367</v>
      </c>
      <c r="F2407" t="s">
        <v>442</v>
      </c>
      <c r="G2407" s="4" t="s">
        <v>245</v>
      </c>
    </row>
    <row r="2408" spans="1:7" hidden="1" x14ac:dyDescent="0.2">
      <c r="A2408" t="s">
        <v>68</v>
      </c>
      <c r="B2408" t="s">
        <v>196</v>
      </c>
      <c r="C2408" s="4">
        <f>(0.0900940072589024/(0.0900940072589024+0.00396421732885982+0.0572052587068733+0.752028927432513)) * 0.24728301616939%</f>
        <v>2.466390461072731E-4</v>
      </c>
      <c r="D2408" t="s">
        <v>242</v>
      </c>
      <c r="E2408" t="s">
        <v>371</v>
      </c>
      <c r="F2408" t="s">
        <v>442</v>
      </c>
      <c r="G2408" s="4" t="s">
        <v>245</v>
      </c>
    </row>
    <row r="2409" spans="1:7" hidden="1" x14ac:dyDescent="0.2">
      <c r="A2409" t="s">
        <v>68</v>
      </c>
      <c r="B2409" t="s">
        <v>196</v>
      </c>
      <c r="C2409" s="4">
        <f>(0.00396421732885982/(0.0900940072589024+0.00396421732885982+0.0572052587068733+0.752028927432513))  * 0.24728301616939%</f>
        <v>1.0852339798164504E-5</v>
      </c>
      <c r="D2409" t="s">
        <v>256</v>
      </c>
      <c r="E2409" t="s">
        <v>366</v>
      </c>
      <c r="F2409" t="s">
        <v>442</v>
      </c>
      <c r="G2409" s="4" t="s">
        <v>245</v>
      </c>
    </row>
    <row r="2410" spans="1:7" hidden="1" x14ac:dyDescent="0.2">
      <c r="A2410" t="s">
        <v>68</v>
      </c>
      <c r="B2410" t="s">
        <v>196</v>
      </c>
      <c r="C2410" s="4">
        <f>(0.0572052587068733/(0.0900940072589024+0.00396421732885982+0.0572052587068733+0.752028927432513)) * 0.24728301616939%</f>
        <v>1.5660365066499869E-4</v>
      </c>
      <c r="D2410" t="s">
        <v>256</v>
      </c>
      <c r="E2410" t="s">
        <v>281</v>
      </c>
      <c r="F2410" t="s">
        <v>442</v>
      </c>
      <c r="G2410" s="4" t="s">
        <v>245</v>
      </c>
    </row>
    <row r="2411" spans="1:7" hidden="1" x14ac:dyDescent="0.2">
      <c r="A2411" t="s">
        <v>68</v>
      </c>
      <c r="B2411" t="s">
        <v>196</v>
      </c>
      <c r="C2411" s="4">
        <f>(0.752028927432513/(0.0900940072589024+0.00396421732885982+0.0572052587068733+0.752028927432513)) * 0.24728301616939%</f>
        <v>2.058735125123464E-3</v>
      </c>
      <c r="D2411" t="s">
        <v>256</v>
      </c>
      <c r="E2411" t="s">
        <v>367</v>
      </c>
      <c r="F2411" t="s">
        <v>442</v>
      </c>
      <c r="G2411" s="4" t="s">
        <v>245</v>
      </c>
    </row>
    <row r="2412" spans="1:7" hidden="1" x14ac:dyDescent="0.2">
      <c r="A2412" t="s">
        <v>68</v>
      </c>
      <c r="B2412" t="s">
        <v>197</v>
      </c>
      <c r="C2412" s="4">
        <f>(0.0900940072589024/(0.0900940072589024+0.00396421732885982+0.0572052587068733+0.752028927432513)) * 0.115945104556013%</f>
        <v>1.1564316236305648E-4</v>
      </c>
      <c r="D2412" t="s">
        <v>242</v>
      </c>
      <c r="E2412" t="s">
        <v>371</v>
      </c>
      <c r="F2412" t="s">
        <v>442</v>
      </c>
      <c r="G2412" s="4" t="s">
        <v>245</v>
      </c>
    </row>
    <row r="2413" spans="1:7" hidden="1" x14ac:dyDescent="0.2">
      <c r="A2413" t="s">
        <v>68</v>
      </c>
      <c r="B2413" t="s">
        <v>197</v>
      </c>
      <c r="C2413" s="4">
        <f>(0.00396421732885982/(0.0900940072589024+0.00396421732885982+0.0572052587068733+0.752028927432513))  * 0.115945104556013%</f>
        <v>5.0884031263741937E-6</v>
      </c>
      <c r="D2413" t="s">
        <v>256</v>
      </c>
      <c r="E2413" t="s">
        <v>366</v>
      </c>
      <c r="F2413" t="s">
        <v>442</v>
      </c>
      <c r="G2413" s="4" t="s">
        <v>245</v>
      </c>
    </row>
    <row r="2414" spans="1:7" hidden="1" x14ac:dyDescent="0.2">
      <c r="A2414" t="s">
        <v>68</v>
      </c>
      <c r="B2414" t="s">
        <v>197</v>
      </c>
      <c r="C2414" s="4">
        <f>(0.0572052587068733/(0.0900940072589024+0.00396421732885982+0.0572052587068733+0.752028927432513)) * 0.115945104556013%</f>
        <v>7.3427714250171906E-5</v>
      </c>
      <c r="D2414" t="s">
        <v>256</v>
      </c>
      <c r="E2414" t="s">
        <v>281</v>
      </c>
      <c r="F2414" t="s">
        <v>442</v>
      </c>
      <c r="G2414" s="4" t="s">
        <v>245</v>
      </c>
    </row>
    <row r="2415" spans="1:7" hidden="1" x14ac:dyDescent="0.2">
      <c r="A2415" t="s">
        <v>68</v>
      </c>
      <c r="B2415" t="s">
        <v>197</v>
      </c>
      <c r="C2415" s="4">
        <f>(0.752028927432513/(0.0900940072589024+0.00396421732885982+0.0572052587068733+0.752028927432513)) * 0.115945104556013%</f>
        <v>9.652917658205275E-4</v>
      </c>
      <c r="D2415" t="s">
        <v>256</v>
      </c>
      <c r="E2415" t="s">
        <v>367</v>
      </c>
      <c r="F2415" t="s">
        <v>442</v>
      </c>
      <c r="G2415" s="4" t="s">
        <v>245</v>
      </c>
    </row>
    <row r="2416" spans="1:7" hidden="1" x14ac:dyDescent="0.2">
      <c r="A2416" t="s">
        <v>68</v>
      </c>
      <c r="B2416" t="s">
        <v>97</v>
      </c>
      <c r="C2416" s="4">
        <f>(0.0900940072589024/(0.0900940072589024+0.00396421732885982+0.0572052587068733+0.752028927432513)) * 2.44815939779382%</f>
        <v>2.4417839443401567E-3</v>
      </c>
      <c r="D2416" t="s">
        <v>242</v>
      </c>
      <c r="E2416" t="s">
        <v>371</v>
      </c>
      <c r="F2416" t="s">
        <v>442</v>
      </c>
      <c r="G2416" s="4" t="s">
        <v>245</v>
      </c>
    </row>
    <row r="2417" spans="1:7" hidden="1" x14ac:dyDescent="0.2">
      <c r="A2417" t="s">
        <v>68</v>
      </c>
      <c r="B2417" t="s">
        <v>97</v>
      </c>
      <c r="C2417" s="4">
        <f>(0.00396421732885982/(0.0900940072589024+0.00396421732885982+0.0572052587068733+0.752028927432513))  * 2.44815939779382%</f>
        <v>1.0744068912006857E-4</v>
      </c>
      <c r="D2417" t="s">
        <v>256</v>
      </c>
      <c r="E2417" t="s">
        <v>366</v>
      </c>
      <c r="F2417" t="s">
        <v>442</v>
      </c>
      <c r="G2417" s="4" t="s">
        <v>245</v>
      </c>
    </row>
    <row r="2418" spans="1:7" hidden="1" x14ac:dyDescent="0.2">
      <c r="A2418" t="s">
        <v>68</v>
      </c>
      <c r="B2418" t="s">
        <v>97</v>
      </c>
      <c r="C2418" s="4">
        <f>(0.0572052587068733/(0.0900940072589024+0.00396421732885982+0.0572052587068733+0.752028927432513)) * 2.44815939779382%</f>
        <v>1.5504125800605431E-3</v>
      </c>
      <c r="D2418" t="s">
        <v>256</v>
      </c>
      <c r="E2418" t="s">
        <v>281</v>
      </c>
      <c r="F2418" t="s">
        <v>442</v>
      </c>
      <c r="G2418" s="4" t="s">
        <v>245</v>
      </c>
    </row>
    <row r="2419" spans="1:7" hidden="1" x14ac:dyDescent="0.2">
      <c r="A2419" t="s">
        <v>68</v>
      </c>
      <c r="B2419" t="s">
        <v>97</v>
      </c>
      <c r="C2419" s="4">
        <f>(0.752028927432513/(0.0900940072589024+0.00396421732885982+0.0572052587068733+0.752028927432513)) * 2.44815939779382%</f>
        <v>2.0381956764417435E-2</v>
      </c>
      <c r="D2419" t="s">
        <v>256</v>
      </c>
      <c r="E2419" t="s">
        <v>367</v>
      </c>
      <c r="F2419" t="s">
        <v>442</v>
      </c>
      <c r="G2419" s="4" t="s">
        <v>245</v>
      </c>
    </row>
    <row r="2420" spans="1:7" hidden="1" x14ac:dyDescent="0.2">
      <c r="A2420" t="s">
        <v>68</v>
      </c>
      <c r="B2420" t="s">
        <v>98</v>
      </c>
      <c r="C2420" s="4">
        <f>(0.0900940072589024/(0.0900940072589024+0.00396421732885982+0.0572052587068733+0.752028927432513)) * 1.34012608157698%</f>
        <v>1.3366361489104905E-3</v>
      </c>
      <c r="D2420" t="s">
        <v>242</v>
      </c>
      <c r="E2420" t="s">
        <v>371</v>
      </c>
      <c r="F2420" t="s">
        <v>442</v>
      </c>
      <c r="G2420" s="4" t="s">
        <v>245</v>
      </c>
    </row>
    <row r="2421" spans="1:7" hidden="1" x14ac:dyDescent="0.2">
      <c r="A2421" t="s">
        <v>68</v>
      </c>
      <c r="B2421" t="s">
        <v>98</v>
      </c>
      <c r="C2421" s="4">
        <f>(0.00396421732885982/(0.0900940072589024+0.00396421732885982+0.0572052587068733+0.752028927432513))  * 1.34012608157698%</f>
        <v>5.8813192409840814E-5</v>
      </c>
      <c r="D2421" t="s">
        <v>256</v>
      </c>
      <c r="E2421" t="s">
        <v>366</v>
      </c>
      <c r="F2421" t="s">
        <v>442</v>
      </c>
      <c r="G2421" s="4" t="s">
        <v>245</v>
      </c>
    </row>
    <row r="2422" spans="1:7" hidden="1" x14ac:dyDescent="0.2">
      <c r="A2422" t="s">
        <v>68</v>
      </c>
      <c r="B2422" t="s">
        <v>98</v>
      </c>
      <c r="C2422" s="4">
        <f>(0.0572052587068733/(0.0900940072589024+0.00396421732885982+0.0572052587068733+0.752028927432513)) *1.34012608157698%</f>
        <v>8.4869814343648225E-4</v>
      </c>
      <c r="D2422" t="s">
        <v>256</v>
      </c>
      <c r="E2422" t="s">
        <v>281</v>
      </c>
      <c r="F2422" t="s">
        <v>442</v>
      </c>
      <c r="G2422" s="4" t="s">
        <v>245</v>
      </c>
    </row>
    <row r="2423" spans="1:7" hidden="1" x14ac:dyDescent="0.2">
      <c r="A2423" t="s">
        <v>68</v>
      </c>
      <c r="B2423" t="s">
        <v>98</v>
      </c>
      <c r="C2423" s="4">
        <f>(0.752028927432513/(0.0900940072589024+0.00396421732885982+0.0572052587068733+0.752028927432513)) * 1.34012608157698%</f>
        <v>1.1157113331012988E-2</v>
      </c>
      <c r="D2423" t="s">
        <v>256</v>
      </c>
      <c r="E2423" t="s">
        <v>367</v>
      </c>
      <c r="F2423" t="s">
        <v>442</v>
      </c>
      <c r="G2423" s="4" t="s">
        <v>245</v>
      </c>
    </row>
    <row r="2424" spans="1:7" hidden="1" x14ac:dyDescent="0.2">
      <c r="A2424" t="s">
        <v>68</v>
      </c>
      <c r="B2424" t="s">
        <v>99</v>
      </c>
      <c r="C2424" s="4">
        <f>(0.0900940072589024/(0.0900940072589024+0.00396421732885982+0.0572052587068733+0.752028927432513)) * 0.183474862417338%</f>
        <v>1.8299706042196421E-4</v>
      </c>
      <c r="D2424" t="s">
        <v>242</v>
      </c>
      <c r="E2424" t="s">
        <v>371</v>
      </c>
      <c r="F2424" t="s">
        <v>442</v>
      </c>
      <c r="G2424" s="4" t="s">
        <v>245</v>
      </c>
    </row>
    <row r="2425" spans="1:7" hidden="1" x14ac:dyDescent="0.2">
      <c r="A2425" t="s">
        <v>68</v>
      </c>
      <c r="B2425" t="s">
        <v>99</v>
      </c>
      <c r="C2425" s="4">
        <f>(0.00396421732885982/(0.0900940072589024+0.00396421732885982+0.0572052587068733+0.752028927432513))  * 0.183474862417338%</f>
        <v>8.0520352033012236E-6</v>
      </c>
      <c r="D2425" t="s">
        <v>256</v>
      </c>
      <c r="E2425" t="s">
        <v>366</v>
      </c>
      <c r="F2425" t="s">
        <v>442</v>
      </c>
      <c r="G2425" s="4" t="s">
        <v>245</v>
      </c>
    </row>
    <row r="2426" spans="1:7" hidden="1" x14ac:dyDescent="0.2">
      <c r="A2426" t="s">
        <v>68</v>
      </c>
      <c r="B2426" t="s">
        <v>99</v>
      </c>
      <c r="C2426" s="4">
        <f>(0.0572052587068733/(0.0900940072589024+0.00396421732885982+0.0572052587068733+0.752028927432513)) * 0.183474862417338%</f>
        <v>1.1619412325564394E-4</v>
      </c>
      <c r="D2426" t="s">
        <v>256</v>
      </c>
      <c r="E2426" t="s">
        <v>281</v>
      </c>
      <c r="F2426" t="s">
        <v>442</v>
      </c>
      <c r="G2426" s="4" t="s">
        <v>245</v>
      </c>
    </row>
    <row r="2427" spans="1:7" hidden="1" x14ac:dyDescent="0.2">
      <c r="A2427" t="s">
        <v>68</v>
      </c>
      <c r="B2427" t="s">
        <v>99</v>
      </c>
      <c r="C2427" s="4">
        <f>(0.752028927432513/(0.0900940072589024+0.00396421732885982+0.0572052587068733+0.752028927432513)) * 0.183474862417338%</f>
        <v>1.5275054052924708E-3</v>
      </c>
      <c r="D2427" t="s">
        <v>256</v>
      </c>
      <c r="E2427" t="s">
        <v>367</v>
      </c>
      <c r="F2427" t="s">
        <v>442</v>
      </c>
      <c r="G2427" s="4" t="s">
        <v>245</v>
      </c>
    </row>
    <row r="2428" spans="1:7" hidden="1" x14ac:dyDescent="0.2">
      <c r="A2428" t="s">
        <v>68</v>
      </c>
      <c r="B2428" t="s">
        <v>118</v>
      </c>
      <c r="C2428" s="4">
        <f>(0.0900940072589024/(0.0900940072589024+0.00396421732885982+0.0572052587068733+0.752028927432513)) * 0.00465145471200435%</f>
        <v>4.6393414758176337E-6</v>
      </c>
      <c r="D2428" t="s">
        <v>242</v>
      </c>
      <c r="E2428" t="s">
        <v>371</v>
      </c>
      <c r="F2428" t="s">
        <v>442</v>
      </c>
      <c r="G2428" s="4" t="s">
        <v>245</v>
      </c>
    </row>
    <row r="2429" spans="1:7" hidden="1" x14ac:dyDescent="0.2">
      <c r="A2429" t="s">
        <v>68</v>
      </c>
      <c r="B2429" t="s">
        <v>118</v>
      </c>
      <c r="C2429" s="4">
        <f>(0.00396421732885982/(0.0900940072589024+0.00396421732885982+0.0572052587068733+0.752028927432513))  * 0.00465145471200435%</f>
        <v>2.0413519647409248E-7</v>
      </c>
      <c r="D2429" t="s">
        <v>256</v>
      </c>
      <c r="E2429" t="s">
        <v>366</v>
      </c>
      <c r="F2429" t="s">
        <v>442</v>
      </c>
      <c r="G2429" s="4" t="s">
        <v>245</v>
      </c>
    </row>
    <row r="2430" spans="1:7" hidden="1" x14ac:dyDescent="0.2">
      <c r="A2430" t="s">
        <v>68</v>
      </c>
      <c r="B2430" t="s">
        <v>118</v>
      </c>
      <c r="C2430" s="4">
        <f>(0.0572052587068733/(0.0900940072589024+0.00396421732885982+0.0572052587068733+0.752028927432513)) * 0.00465145471200435%</f>
        <v>2.9457534127770831E-6</v>
      </c>
      <c r="D2430" t="s">
        <v>256</v>
      </c>
      <c r="E2430" t="s">
        <v>281</v>
      </c>
      <c r="F2430" t="s">
        <v>442</v>
      </c>
      <c r="G2430" s="4" t="s">
        <v>245</v>
      </c>
    </row>
    <row r="2431" spans="1:7" hidden="1" x14ac:dyDescent="0.2">
      <c r="A2431" t="s">
        <v>68</v>
      </c>
      <c r="B2431" t="s">
        <v>118</v>
      </c>
      <c r="C2431" s="4">
        <f>(0.752028927432513/(0.0900940072589024+0.00396421732885982+0.0572052587068733+0.752028927432513)) * 0.00465145471200435%</f>
        <v>3.8725317034974695E-5</v>
      </c>
      <c r="D2431" t="s">
        <v>256</v>
      </c>
      <c r="E2431" t="s">
        <v>367</v>
      </c>
      <c r="F2431" t="s">
        <v>442</v>
      </c>
      <c r="G2431" s="4" t="s">
        <v>245</v>
      </c>
    </row>
    <row r="2432" spans="1:7" hidden="1" x14ac:dyDescent="0.2">
      <c r="A2432" t="s">
        <v>68</v>
      </c>
      <c r="B2432" t="s">
        <v>100</v>
      </c>
      <c r="C2432" s="4">
        <f>(0.0900940072589024/(0.0900940072589024+0.00396421732885982+0.0572052587068733+0.752028927432513)) * 0.000462356653291692%</f>
        <v>4.6115259226335001E-7</v>
      </c>
      <c r="D2432" t="s">
        <v>242</v>
      </c>
      <c r="E2432" t="s">
        <v>371</v>
      </c>
      <c r="F2432" t="s">
        <v>442</v>
      </c>
      <c r="G2432" s="4" t="s">
        <v>245</v>
      </c>
    </row>
    <row r="2433" spans="1:7" hidden="1" x14ac:dyDescent="0.2">
      <c r="A2433" t="s">
        <v>68</v>
      </c>
      <c r="B2433" t="s">
        <v>100</v>
      </c>
      <c r="C2433" s="4">
        <f>(0.00396421732885982/(0.0900940072589024+0.00396421732885982+0.0572052587068733+0.752028927432513))  * 0.000462356653291692%</f>
        <v>2.0291128712319094E-8</v>
      </c>
      <c r="D2433" t="s">
        <v>256</v>
      </c>
      <c r="E2433" t="s">
        <v>366</v>
      </c>
      <c r="F2433" t="s">
        <v>442</v>
      </c>
      <c r="G2433" s="4" t="s">
        <v>245</v>
      </c>
    </row>
    <row r="2434" spans="1:7" hidden="1" x14ac:dyDescent="0.2">
      <c r="A2434" t="s">
        <v>68</v>
      </c>
      <c r="B2434" t="s">
        <v>100</v>
      </c>
      <c r="C2434" s="4">
        <f>(0.0572052587068733/(0.0900940072589024+0.00396421732885982+0.0572052587068733+0.752028927432513)) * 0.000462356653291692%</f>
        <v>2.9280919060422287E-7</v>
      </c>
      <c r="D2434" t="s">
        <v>256</v>
      </c>
      <c r="E2434" t="s">
        <v>281</v>
      </c>
      <c r="F2434" t="s">
        <v>442</v>
      </c>
      <c r="G2434" s="4" t="s">
        <v>245</v>
      </c>
    </row>
    <row r="2435" spans="1:7" hidden="1" x14ac:dyDescent="0.2">
      <c r="A2435" t="s">
        <v>68</v>
      </c>
      <c r="B2435" t="s">
        <v>100</v>
      </c>
      <c r="C2435" s="4">
        <f>(0.752028927432513/(0.0900940072589024+0.00396421732885982+0.0572052587068733+0.752028927432513)) * 0.000462356653291692%</f>
        <v>3.8493136213370284E-6</v>
      </c>
      <c r="D2435" t="s">
        <v>256</v>
      </c>
      <c r="E2435" t="s">
        <v>367</v>
      </c>
      <c r="F2435" t="s">
        <v>442</v>
      </c>
      <c r="G2435" s="4" t="s">
        <v>245</v>
      </c>
    </row>
    <row r="2436" spans="1:7" hidden="1" x14ac:dyDescent="0.2">
      <c r="A2436" t="s">
        <v>68</v>
      </c>
      <c r="B2436" t="s">
        <v>119</v>
      </c>
      <c r="C2436" s="4">
        <f>(0.0900940072589024/(0.0900940072589024+0.00396421732885982+0.0572052587068733+0.752028927432513)) * 0.0132116578929477%</f>
        <v>1.3177252326864822E-5</v>
      </c>
      <c r="D2436" t="s">
        <v>242</v>
      </c>
      <c r="E2436" t="s">
        <v>371</v>
      </c>
      <c r="F2436" t="s">
        <v>442</v>
      </c>
      <c r="G2436" s="4" t="s">
        <v>245</v>
      </c>
    </row>
    <row r="2437" spans="1:7" hidden="1" x14ac:dyDescent="0.2">
      <c r="A2437" t="s">
        <v>68</v>
      </c>
      <c r="B2437" t="s">
        <v>119</v>
      </c>
      <c r="C2437" s="4">
        <f>(0.00396421732885982/(0.0900940072589024+0.00396421732885982+0.0572052587068733+0.752028927432513))  * 0.0132116578929477%</f>
        <v>5.7981095091931562E-7</v>
      </c>
      <c r="D2437" t="s">
        <v>256</v>
      </c>
      <c r="E2437" t="s">
        <v>366</v>
      </c>
      <c r="F2437" t="s">
        <v>442</v>
      </c>
      <c r="G2437" s="4" t="s">
        <v>245</v>
      </c>
    </row>
    <row r="2438" spans="1:7" hidden="1" x14ac:dyDescent="0.2">
      <c r="A2438" t="s">
        <v>68</v>
      </c>
      <c r="B2438" t="s">
        <v>119</v>
      </c>
      <c r="C2438" s="4">
        <f>(0.0572052587068733/(0.0900940072589024+0.00396421732885982+0.0572052587068733+0.752028927432513)) * 0.0132116578929477%</f>
        <v>8.3669064273924244E-6</v>
      </c>
      <c r="D2438" t="s">
        <v>256</v>
      </c>
      <c r="E2438" t="s">
        <v>281</v>
      </c>
      <c r="F2438" t="s">
        <v>442</v>
      </c>
      <c r="G2438" s="4" t="s">
        <v>245</v>
      </c>
    </row>
    <row r="2439" spans="1:7" hidden="1" x14ac:dyDescent="0.2">
      <c r="A2439" t="s">
        <v>68</v>
      </c>
      <c r="B2439" t="s">
        <v>119</v>
      </c>
      <c r="C2439" s="4">
        <f>(0.752028927432513/(0.0900940072589024+0.00396421732885982+0.0572052587068733+0.752028927432513)) * 0.0132116578929477%</f>
        <v>1.0999260922430044E-4</v>
      </c>
      <c r="D2439" t="s">
        <v>256</v>
      </c>
      <c r="E2439" t="s">
        <v>367</v>
      </c>
      <c r="F2439" t="s">
        <v>442</v>
      </c>
      <c r="G2439" s="4" t="s">
        <v>245</v>
      </c>
    </row>
    <row r="2440" spans="1:7" hidden="1" x14ac:dyDescent="0.2">
      <c r="A2440" t="s">
        <v>68</v>
      </c>
      <c r="B2440" t="s">
        <v>102</v>
      </c>
      <c r="C2440" s="4">
        <f>(0.0900940072589024/(0.0900940072589024+0.00396421732885982+0.0572052587068733+0.752028927432513)) * 3.73705049099047%</f>
        <v>3.7273185301219211E-3</v>
      </c>
      <c r="D2440" t="s">
        <v>242</v>
      </c>
      <c r="E2440" t="s">
        <v>371</v>
      </c>
      <c r="F2440" t="s">
        <v>442</v>
      </c>
      <c r="G2440" s="4" t="s">
        <v>245</v>
      </c>
    </row>
    <row r="2441" spans="1:7" hidden="1" x14ac:dyDescent="0.2">
      <c r="A2441" t="s">
        <v>68</v>
      </c>
      <c r="B2441" t="s">
        <v>102</v>
      </c>
      <c r="C2441" s="4">
        <f>(0.00396421732885982/(0.0900940072589024+0.00396421732885982+0.0572052587068733+0.752028927432513))  * 3.73705049099047%</f>
        <v>1.6400536680345732E-4</v>
      </c>
      <c r="D2441" t="s">
        <v>256</v>
      </c>
      <c r="E2441" t="s">
        <v>366</v>
      </c>
      <c r="F2441" t="s">
        <v>442</v>
      </c>
      <c r="G2441" s="4" t="s">
        <v>245</v>
      </c>
    </row>
    <row r="2442" spans="1:7" hidden="1" x14ac:dyDescent="0.2">
      <c r="A2442" t="s">
        <v>68</v>
      </c>
      <c r="B2442" t="s">
        <v>102</v>
      </c>
      <c r="C2442" s="4">
        <f>(0.0572052587068733/(0.0900940072589024+0.00396421732885982+0.0572052587068733+0.752028927432513)) * 3.73705049099047%</f>
        <v>2.3666637469661246E-3</v>
      </c>
      <c r="D2442" t="s">
        <v>256</v>
      </c>
      <c r="E2442" t="s">
        <v>281</v>
      </c>
      <c r="F2442" t="s">
        <v>442</v>
      </c>
      <c r="G2442" s="4" t="s">
        <v>245</v>
      </c>
    </row>
    <row r="2443" spans="1:7" hidden="1" x14ac:dyDescent="0.2">
      <c r="A2443" t="s">
        <v>68</v>
      </c>
      <c r="B2443" t="s">
        <v>102</v>
      </c>
      <c r="C2443" s="4">
        <f>(0.752028927432513/(0.0900940072589024+0.00396421732885982+0.0572052587068733+0.752028927432513)) * 3.73705049099047%</f>
        <v>3.1112517266013197E-2</v>
      </c>
      <c r="D2443" t="s">
        <v>256</v>
      </c>
      <c r="E2443" t="s">
        <v>367</v>
      </c>
      <c r="F2443" t="s">
        <v>442</v>
      </c>
      <c r="G2443" s="4" t="s">
        <v>245</v>
      </c>
    </row>
    <row r="2444" spans="1:7" hidden="1" x14ac:dyDescent="0.2">
      <c r="A2444" t="s">
        <v>68</v>
      </c>
      <c r="B2444" t="s">
        <v>148</v>
      </c>
      <c r="C2444" s="4">
        <f>(0.0900940072589024/(0.0900940072589024+0.00396421732885982+0.0572052587068733+0.752028927432513)) * 0.0271087778718865%</f>
        <v>2.7038181671466029E-5</v>
      </c>
      <c r="D2444" t="s">
        <v>242</v>
      </c>
      <c r="E2444" t="s">
        <v>371</v>
      </c>
      <c r="F2444" t="s">
        <v>442</v>
      </c>
      <c r="G2444" s="4" t="s">
        <v>245</v>
      </c>
    </row>
    <row r="2445" spans="1:7" hidden="1" x14ac:dyDescent="0.2">
      <c r="A2445" t="s">
        <v>68</v>
      </c>
      <c r="B2445" t="s">
        <v>148</v>
      </c>
      <c r="C2445" s="4">
        <f>(0.00396421732885982/(0.0900940072589024+0.00396421732885982+0.0572052587068733+0.752028927432513))  * 0.0271087778718865%</f>
        <v>1.1897043053581614E-6</v>
      </c>
      <c r="D2445" t="s">
        <v>256</v>
      </c>
      <c r="E2445" t="s">
        <v>366</v>
      </c>
      <c r="F2445" t="s">
        <v>442</v>
      </c>
      <c r="G2445" s="4" t="s">
        <v>245</v>
      </c>
    </row>
    <row r="2446" spans="1:7" hidden="1" x14ac:dyDescent="0.2">
      <c r="A2446" t="s">
        <v>68</v>
      </c>
      <c r="B2446" t="s">
        <v>148</v>
      </c>
      <c r="C2446" s="4">
        <f>(0.0572052587068733/(0.0900940072589024+0.00396421732885982+0.0572052587068733+0.752028927432513)) * 0.0271087778718865%</f>
        <v>1.7167914099267888E-5</v>
      </c>
      <c r="D2446" t="s">
        <v>256</v>
      </c>
      <c r="E2446" t="s">
        <v>281</v>
      </c>
      <c r="F2446" t="s">
        <v>442</v>
      </c>
      <c r="G2446" s="4" t="s">
        <v>245</v>
      </c>
    </row>
    <row r="2447" spans="1:7" hidden="1" x14ac:dyDescent="0.2">
      <c r="A2447" t="s">
        <v>68</v>
      </c>
      <c r="B2447" t="s">
        <v>148</v>
      </c>
      <c r="C2447" s="4">
        <f>(0.752028927432513/(0.0900940072589024+0.00396421732885982+0.0572052587068733+0.752028927432513)) * 0.0271087778718865%</f>
        <v>2.2569197864277292E-4</v>
      </c>
      <c r="D2447" t="s">
        <v>256</v>
      </c>
      <c r="E2447" t="s">
        <v>367</v>
      </c>
      <c r="F2447" t="s">
        <v>442</v>
      </c>
      <c r="G2447" s="4" t="s">
        <v>245</v>
      </c>
    </row>
    <row r="2448" spans="1:7" hidden="1" x14ac:dyDescent="0.2">
      <c r="A2448" t="s">
        <v>68</v>
      </c>
      <c r="B2448" t="s">
        <v>149</v>
      </c>
      <c r="C2448" s="4">
        <f>(0.0900940072589024/(0.0900940072589024+0.00396421732885982+0.0572052587068733+0.752028927432513)) * 0.183474862417338%</f>
        <v>1.8299706042196421E-4</v>
      </c>
      <c r="D2448" t="s">
        <v>242</v>
      </c>
      <c r="E2448" t="s">
        <v>371</v>
      </c>
      <c r="F2448" t="s">
        <v>442</v>
      </c>
      <c r="G2448" s="4" t="s">
        <v>245</v>
      </c>
    </row>
    <row r="2449" spans="1:7" hidden="1" x14ac:dyDescent="0.2">
      <c r="A2449" t="s">
        <v>68</v>
      </c>
      <c r="B2449" t="s">
        <v>149</v>
      </c>
      <c r="C2449" s="4">
        <f>(0.00396421732885982/(0.0900940072589024+0.00396421732885982+0.0572052587068733+0.752028927432513))  * 0.183474862417338%</f>
        <v>8.0520352033012236E-6</v>
      </c>
      <c r="D2449" t="s">
        <v>256</v>
      </c>
      <c r="E2449" t="s">
        <v>366</v>
      </c>
      <c r="F2449" t="s">
        <v>442</v>
      </c>
      <c r="G2449" s="4" t="s">
        <v>245</v>
      </c>
    </row>
    <row r="2450" spans="1:7" hidden="1" x14ac:dyDescent="0.2">
      <c r="A2450" t="s">
        <v>68</v>
      </c>
      <c r="B2450" t="s">
        <v>149</v>
      </c>
      <c r="C2450" s="4">
        <f>(0.0572052587068733/(0.0900940072589024+0.00396421732885982+0.0572052587068733+0.752028927432513)) * 0.183474862417338%</f>
        <v>1.1619412325564394E-4</v>
      </c>
      <c r="D2450" t="s">
        <v>256</v>
      </c>
      <c r="E2450" t="s">
        <v>281</v>
      </c>
      <c r="F2450" t="s">
        <v>442</v>
      </c>
      <c r="G2450" s="4" t="s">
        <v>245</v>
      </c>
    </row>
    <row r="2451" spans="1:7" hidden="1" x14ac:dyDescent="0.2">
      <c r="A2451" t="s">
        <v>68</v>
      </c>
      <c r="B2451" t="s">
        <v>149</v>
      </c>
      <c r="C2451" s="4">
        <f>(0.752028927432513/(0.0900940072589024+0.00396421732885982+0.0572052587068733+0.752028927432513)) * 0.183474862417338%</f>
        <v>1.5275054052924708E-3</v>
      </c>
      <c r="D2451" t="s">
        <v>256</v>
      </c>
      <c r="E2451" t="s">
        <v>367</v>
      </c>
      <c r="F2451" t="s">
        <v>442</v>
      </c>
      <c r="G2451" s="4" t="s">
        <v>245</v>
      </c>
    </row>
    <row r="2452" spans="1:7" hidden="1" x14ac:dyDescent="0.2">
      <c r="A2452" t="s">
        <v>68</v>
      </c>
      <c r="B2452" t="s">
        <v>170</v>
      </c>
      <c r="C2452" s="4">
        <f>(0.0900940072589024/(0.0900940072589024+0.00396421732885982+0.0572052587068733+0.752028927432513)) * 0.0495382128526813%</f>
        <v>4.9409206313930364E-5</v>
      </c>
      <c r="D2452" t="s">
        <v>242</v>
      </c>
      <c r="E2452" t="s">
        <v>371</v>
      </c>
      <c r="F2452" t="s">
        <v>442</v>
      </c>
      <c r="G2452" s="4" t="s">
        <v>245</v>
      </c>
    </row>
    <row r="2453" spans="1:7" hidden="1" x14ac:dyDescent="0.2">
      <c r="A2453" t="s">
        <v>68</v>
      </c>
      <c r="B2453" t="s">
        <v>170</v>
      </c>
      <c r="C2453" s="4">
        <f>(0.00396421732885982/(0.0900940072589024+0.00396421732885982+0.0572052587068733+0.752028927432513))  * 0.0495382128526813%</f>
        <v>2.1740495048913318E-6</v>
      </c>
      <c r="D2453" t="s">
        <v>256</v>
      </c>
      <c r="E2453" t="s">
        <v>366</v>
      </c>
      <c r="F2453" t="s">
        <v>442</v>
      </c>
      <c r="G2453" s="4" t="s">
        <v>245</v>
      </c>
    </row>
    <row r="2454" spans="1:7" hidden="1" x14ac:dyDescent="0.2">
      <c r="A2454" t="s">
        <v>68</v>
      </c>
      <c r="B2454" t="s">
        <v>170</v>
      </c>
      <c r="C2454" s="4">
        <f>(0.0572052587068733/(0.0900940072589024+0.00396421732885982+0.0572052587068733+0.752028927432513)) * 0.0495382128526813%</f>
        <v>3.1372413279023888E-5</v>
      </c>
      <c r="D2454" t="s">
        <v>256</v>
      </c>
      <c r="E2454" t="s">
        <v>281</v>
      </c>
      <c r="F2454" t="s">
        <v>442</v>
      </c>
      <c r="G2454" s="4" t="s">
        <v>245</v>
      </c>
    </row>
    <row r="2455" spans="1:7" hidden="1" x14ac:dyDescent="0.2">
      <c r="A2455" t="s">
        <v>68</v>
      </c>
      <c r="B2455" t="s">
        <v>170</v>
      </c>
      <c r="C2455" s="4">
        <f>(0.752028927432513/(0.0900940072589024+0.00396421732885982+0.0572052587068733+0.752028927432513)) * 0.0495382128526813%</f>
        <v>4.1242645942896739E-4</v>
      </c>
      <c r="D2455" t="s">
        <v>256</v>
      </c>
      <c r="E2455" t="s">
        <v>367</v>
      </c>
      <c r="F2455" t="s">
        <v>442</v>
      </c>
      <c r="G2455" s="4" t="s">
        <v>245</v>
      </c>
    </row>
    <row r="2456" spans="1:7" hidden="1" x14ac:dyDescent="0.2">
      <c r="A2456" t="s">
        <v>68</v>
      </c>
      <c r="B2456" t="s">
        <v>171</v>
      </c>
      <c r="C2456" s="4">
        <f>(0.0900940072589024/(0.0900940072589024+0.00396421732885982+0.0572052587068733+0.752028927432513)) * 0.122134812514524%</f>
        <v>1.2181675119345155E-4</v>
      </c>
      <c r="D2456" t="s">
        <v>242</v>
      </c>
      <c r="E2456" t="s">
        <v>371</v>
      </c>
      <c r="F2456" t="s">
        <v>442</v>
      </c>
      <c r="G2456" s="4" t="s">
        <v>245</v>
      </c>
    </row>
    <row r="2457" spans="1:7" hidden="1" x14ac:dyDescent="0.2">
      <c r="A2457" t="s">
        <v>68</v>
      </c>
      <c r="B2457" t="s">
        <v>171</v>
      </c>
      <c r="C2457" s="4">
        <f>(0.00396421732885982/(0.0900940072589024+0.00396421732885982+0.0572052587068733+0.752028927432513))  * 0.122134812514524%</f>
        <v>5.36004658599275E-6</v>
      </c>
      <c r="D2457" t="s">
        <v>256</v>
      </c>
      <c r="E2457" t="s">
        <v>366</v>
      </c>
      <c r="F2457" t="s">
        <v>442</v>
      </c>
      <c r="G2457" s="4" t="s">
        <v>245</v>
      </c>
    </row>
    <row r="2458" spans="1:7" hidden="1" x14ac:dyDescent="0.2">
      <c r="A2458" t="s">
        <v>68</v>
      </c>
      <c r="B2458" t="s">
        <v>171</v>
      </c>
      <c r="C2458" s="4">
        <f>(0.0572052587068733/(0.0900940072589024+0.00396421732885982+0.0572052587068733+0.752028927432513)) * 0.122134812514524%</f>
        <v>7.73476391923241E-5</v>
      </c>
      <c r="D2458" t="s">
        <v>256</v>
      </c>
      <c r="E2458" t="s">
        <v>281</v>
      </c>
      <c r="F2458" t="s">
        <v>442</v>
      </c>
      <c r="G2458" s="4" t="s">
        <v>245</v>
      </c>
    </row>
    <row r="2459" spans="1:7" hidden="1" x14ac:dyDescent="0.2">
      <c r="A2459" t="s">
        <v>68</v>
      </c>
      <c r="B2459" t="s">
        <v>171</v>
      </c>
      <c r="C2459" s="4">
        <f>(0.752028927432513/(0.0900940072589024+0.00396421732885982+0.0572052587068733+0.752028927432513)) * 0.122134812514524%</f>
        <v>1.0168236881734716E-3</v>
      </c>
      <c r="D2459" t="s">
        <v>256</v>
      </c>
      <c r="E2459" t="s">
        <v>367</v>
      </c>
      <c r="F2459" t="s">
        <v>442</v>
      </c>
      <c r="G2459" s="4" t="s">
        <v>245</v>
      </c>
    </row>
    <row r="2460" spans="1:7" hidden="1" x14ac:dyDescent="0.2">
      <c r="A2460" t="s">
        <v>68</v>
      </c>
      <c r="B2460" t="s">
        <v>103</v>
      </c>
      <c r="C2460" s="4">
        <f>(0.0900940072589024/(0.0900940072589024+0.00396421732885982+0.0572052587068733+0.752028927432513)) * 0.00346840879913736%</f>
        <v>3.4593764302168139E-6</v>
      </c>
      <c r="D2460" t="s">
        <v>242</v>
      </c>
      <c r="E2460" t="s">
        <v>371</v>
      </c>
      <c r="F2460" t="s">
        <v>442</v>
      </c>
      <c r="G2460" s="4" t="s">
        <v>245</v>
      </c>
    </row>
    <row r="2461" spans="1:7" hidden="1" x14ac:dyDescent="0.2">
      <c r="A2461" t="s">
        <v>68</v>
      </c>
      <c r="B2461" t="s">
        <v>103</v>
      </c>
      <c r="C2461" s="4">
        <f>(0.00396421732885982/(0.0900940072589024+0.00396421732885982+0.0572052587068733+0.752028927432513))  * 0.00346840879913736%</f>
        <v>1.5221567348320646E-7</v>
      </c>
      <c r="D2461" t="s">
        <v>256</v>
      </c>
      <c r="E2461" t="s">
        <v>366</v>
      </c>
      <c r="F2461" t="s">
        <v>442</v>
      </c>
      <c r="G2461" s="4" t="s">
        <v>245</v>
      </c>
    </row>
    <row r="2462" spans="1:7" hidden="1" x14ac:dyDescent="0.2">
      <c r="A2462" t="s">
        <v>68</v>
      </c>
      <c r="B2462" t="s">
        <v>103</v>
      </c>
      <c r="C2462" s="4">
        <f>(0.0572052587068733/(0.0900940072589024+0.00396421732885982+0.0572052587068733+0.752028927432513)) * 0.00346840879913736%</f>
        <v>2.1965337060246945E-6</v>
      </c>
      <c r="D2462" t="s">
        <v>256</v>
      </c>
      <c r="E2462" t="s">
        <v>281</v>
      </c>
      <c r="F2462" t="s">
        <v>442</v>
      </c>
      <c r="G2462" s="4" t="s">
        <v>245</v>
      </c>
    </row>
    <row r="2463" spans="1:7" hidden="1" x14ac:dyDescent="0.2">
      <c r="A2463" t="s">
        <v>68</v>
      </c>
      <c r="B2463" t="s">
        <v>103</v>
      </c>
      <c r="C2463" s="4">
        <f>(0.752028927432513/(0.0900940072589024+0.00396421732885982+0.0572052587068733+0.752028927432513)) * 0.00346840879913736%</f>
        <v>2.8875962181648887E-5</v>
      </c>
      <c r="D2463" t="s">
        <v>256</v>
      </c>
      <c r="E2463" t="s">
        <v>367</v>
      </c>
      <c r="F2463" t="s">
        <v>442</v>
      </c>
      <c r="G2463" s="4" t="s">
        <v>245</v>
      </c>
    </row>
    <row r="2464" spans="1:7" hidden="1" x14ac:dyDescent="0.2">
      <c r="A2464" t="s">
        <v>68</v>
      </c>
      <c r="B2464" t="s">
        <v>200</v>
      </c>
      <c r="C2464" s="4">
        <f>(0.0900940072589024/(0.0900940072589024+0.00396421732885982+0.0572052587068733+0.752028927432513)) * 0.00968747273563544%</f>
        <v>9.6622447902797043E-6</v>
      </c>
      <c r="D2464" t="s">
        <v>242</v>
      </c>
      <c r="E2464" t="s">
        <v>371</v>
      </c>
      <c r="F2464" t="s">
        <v>442</v>
      </c>
      <c r="G2464" s="4" t="s">
        <v>245</v>
      </c>
    </row>
    <row r="2465" spans="1:7" hidden="1" x14ac:dyDescent="0.2">
      <c r="A2465" t="s">
        <v>68</v>
      </c>
      <c r="B2465" t="s">
        <v>200</v>
      </c>
      <c r="C2465" s="4">
        <f>(0.00396421732885982/(0.0900940072589024+0.00396421732885982+0.0572052587068733+0.752028927432513))  * 0.00968747273563544%</f>
        <v>4.2514745873430436E-7</v>
      </c>
      <c r="D2465" t="s">
        <v>256</v>
      </c>
      <c r="E2465" t="s">
        <v>366</v>
      </c>
      <c r="F2465" t="s">
        <v>442</v>
      </c>
      <c r="G2465" s="4" t="s">
        <v>245</v>
      </c>
    </row>
    <row r="2466" spans="1:7" hidden="1" x14ac:dyDescent="0.2">
      <c r="A2466" t="s">
        <v>68</v>
      </c>
      <c r="B2466" t="s">
        <v>200</v>
      </c>
      <c r="C2466" s="4">
        <f>(0.0572052587068733/(0.0900940072589024+0.00396421732885982+0.0572052587068733+0.752028927432513)) * 0.00968747273563544%</f>
        <v>6.1350497078979961E-6</v>
      </c>
      <c r="D2466" t="s">
        <v>256</v>
      </c>
      <c r="E2466" t="s">
        <v>281</v>
      </c>
      <c r="F2466" t="s">
        <v>442</v>
      </c>
      <c r="G2466" s="4" t="s">
        <v>245</v>
      </c>
    </row>
    <row r="2467" spans="1:7" hidden="1" x14ac:dyDescent="0.2">
      <c r="A2467" t="s">
        <v>68</v>
      </c>
      <c r="B2467" t="s">
        <v>200</v>
      </c>
      <c r="C2467" s="4">
        <f>(0.752028927432513/(0.0900940072589024+0.00396421732885982+0.0572052587068733+0.752028927432513)) * 0.00968747273563544%</f>
        <v>8.0652285399442414E-5</v>
      </c>
      <c r="D2467" t="s">
        <v>256</v>
      </c>
      <c r="E2467" t="s">
        <v>367</v>
      </c>
      <c r="F2467" t="s">
        <v>442</v>
      </c>
      <c r="G2467" s="4" t="s">
        <v>245</v>
      </c>
    </row>
    <row r="2468" spans="1:7" hidden="1" x14ac:dyDescent="0.2">
      <c r="A2468" t="s">
        <v>68</v>
      </c>
      <c r="B2468" t="s">
        <v>150</v>
      </c>
      <c r="C2468" s="4">
        <f>(0.0900940072589024/(0.0900940072589024+0.00396421732885982+0.0572052587068733+0.752028927432513)) * 25.0009709489719%</f>
        <v>2.4935863862102805E-2</v>
      </c>
      <c r="D2468" t="s">
        <v>242</v>
      </c>
      <c r="E2468" t="s">
        <v>371</v>
      </c>
      <c r="F2468" t="s">
        <v>442</v>
      </c>
      <c r="G2468" s="4" t="s">
        <v>245</v>
      </c>
    </row>
    <row r="2469" spans="1:7" hidden="1" x14ac:dyDescent="0.2">
      <c r="A2469" t="s">
        <v>68</v>
      </c>
      <c r="B2469" t="s">
        <v>150</v>
      </c>
      <c r="C2469" s="4">
        <f>(0.00396421732885982/(0.0900940072589024+0.00396421732885982+0.0572052587068733+0.752028927432513))  * 25.0009709489719%</f>
        <v>1.0972004314134844E-3</v>
      </c>
      <c r="D2469" t="s">
        <v>256</v>
      </c>
      <c r="E2469" t="s">
        <v>366</v>
      </c>
      <c r="F2469" t="s">
        <v>442</v>
      </c>
      <c r="G2469" s="4" t="s">
        <v>245</v>
      </c>
    </row>
    <row r="2470" spans="1:7" hidden="1" x14ac:dyDescent="0.2">
      <c r="A2470" t="s">
        <v>68</v>
      </c>
      <c r="B2470" t="s">
        <v>150</v>
      </c>
      <c r="C2470" s="4">
        <f>(0.0572052587068733/(0.0900940072589024+0.00396421732885982+0.0572052587068733+0.752028927432513)) * 25.0009709489719%</f>
        <v>1.583304580083501E-2</v>
      </c>
      <c r="D2470" t="s">
        <v>256</v>
      </c>
      <c r="E2470" t="s">
        <v>281</v>
      </c>
      <c r="F2470" t="s">
        <v>442</v>
      </c>
      <c r="G2470" s="4" t="s">
        <v>245</v>
      </c>
    </row>
    <row r="2471" spans="1:7" hidden="1" x14ac:dyDescent="0.2">
      <c r="A2471" t="s">
        <v>68</v>
      </c>
      <c r="B2471" t="s">
        <v>150</v>
      </c>
      <c r="C2471" s="4">
        <f>(0.752028927432513/(0.0900940072589024+0.00396421732885982+0.0572052587068733+0.752028927432513)) * 25.0009709489719%</f>
        <v>0.20814359939536772</v>
      </c>
      <c r="D2471" t="s">
        <v>256</v>
      </c>
      <c r="E2471" t="s">
        <v>367</v>
      </c>
      <c r="F2471" t="s">
        <v>442</v>
      </c>
      <c r="G2471" s="4" t="s">
        <v>245</v>
      </c>
    </row>
    <row r="2472" spans="1:7" hidden="1" x14ac:dyDescent="0.2">
      <c r="A2472" t="s">
        <v>68</v>
      </c>
      <c r="B2472" t="s">
        <v>173</v>
      </c>
      <c r="C2472" s="4">
        <f>(0.0900940072589024/(0.0900940072589024+0.00396421732885982+0.0572052587068733+0.752028927432513)) * 0.265465375034948%</f>
        <v>2.6477405479508954E-4</v>
      </c>
      <c r="D2472" t="s">
        <v>242</v>
      </c>
      <c r="E2472" t="s">
        <v>371</v>
      </c>
      <c r="F2472" t="s">
        <v>442</v>
      </c>
      <c r="G2472" s="4" t="s">
        <v>245</v>
      </c>
    </row>
    <row r="2473" spans="1:7" hidden="1" x14ac:dyDescent="0.2">
      <c r="A2473" t="s">
        <v>68</v>
      </c>
      <c r="B2473" t="s">
        <v>173</v>
      </c>
      <c r="C2473" s="4">
        <f>(0.00396421732885982/(0.0900940072589024+0.00396421732885982+0.0572052587068733+0.752028927432513))  * 0.265465375034948%</f>
        <v>1.1650296486811646E-5</v>
      </c>
      <c r="D2473" t="s">
        <v>256</v>
      </c>
      <c r="E2473" t="s">
        <v>366</v>
      </c>
      <c r="F2473" t="s">
        <v>442</v>
      </c>
      <c r="G2473" s="4" t="s">
        <v>245</v>
      </c>
    </row>
    <row r="2474" spans="1:7" hidden="1" x14ac:dyDescent="0.2">
      <c r="A2474" t="s">
        <v>68</v>
      </c>
      <c r="B2474" t="s">
        <v>173</v>
      </c>
      <c r="C2474" s="4">
        <f>(0.0572052587068733/(0.0900940072589024+0.00396421732885982+0.0572052587068733+0.752028927432513)) * 0.265465375034948%</f>
        <v>1.6811848827963285E-4</v>
      </c>
      <c r="D2474" t="s">
        <v>256</v>
      </c>
      <c r="E2474" t="s">
        <v>281</v>
      </c>
      <c r="F2474" t="s">
        <v>442</v>
      </c>
      <c r="G2474" s="4" t="s">
        <v>245</v>
      </c>
    </row>
    <row r="2475" spans="1:7" hidden="1" x14ac:dyDescent="0.2">
      <c r="A2475" t="s">
        <v>68</v>
      </c>
      <c r="B2475" t="s">
        <v>173</v>
      </c>
      <c r="C2475" s="4">
        <f>(0.752028927432513/(0.0900940072589024+0.00396421732885982+0.0572052587068733+0.752028927432513)) * 0.265465375034948%</f>
        <v>2.2101109107879459E-3</v>
      </c>
      <c r="D2475" t="s">
        <v>256</v>
      </c>
      <c r="E2475" t="s">
        <v>367</v>
      </c>
      <c r="F2475" t="s">
        <v>442</v>
      </c>
      <c r="G2475" s="4" t="s">
        <v>245</v>
      </c>
    </row>
    <row r="2476" spans="1:7" hidden="1" x14ac:dyDescent="0.2">
      <c r="A2476" t="s">
        <v>68</v>
      </c>
      <c r="B2476" t="s">
        <v>161</v>
      </c>
      <c r="C2476" s="4">
        <f>(0.0900940072589024/(0.0900940072589024+0.00396421732885982+0.0572052587068733+0.752028927432513)) * 0.766129377901031%</f>
        <v>7.6413423730982042E-4</v>
      </c>
      <c r="D2476" t="s">
        <v>242</v>
      </c>
      <c r="E2476" t="s">
        <v>371</v>
      </c>
      <c r="F2476" t="s">
        <v>442</v>
      </c>
      <c r="G2476" s="4" t="s">
        <v>245</v>
      </c>
    </row>
    <row r="2477" spans="1:7" hidden="1" x14ac:dyDescent="0.2">
      <c r="A2477" t="s">
        <v>68</v>
      </c>
      <c r="B2477" t="s">
        <v>161</v>
      </c>
      <c r="C2477" s="4">
        <f>(0.00396421732885982/(0.0900940072589024+0.00396421732885982+0.0572052587068733+0.752028927432513))  * 0.766129377901031%</f>
        <v>3.3622593525157588E-5</v>
      </c>
      <c r="D2477" t="s">
        <v>256</v>
      </c>
      <c r="E2477" t="s">
        <v>366</v>
      </c>
      <c r="F2477" t="s">
        <v>442</v>
      </c>
      <c r="G2477" s="4" t="s">
        <v>245</v>
      </c>
    </row>
    <row r="2478" spans="1:7" hidden="1" x14ac:dyDescent="0.2">
      <c r="A2478" t="s">
        <v>68</v>
      </c>
      <c r="B2478" t="s">
        <v>161</v>
      </c>
      <c r="C2478" s="4">
        <f>(0.0572052587068733/(0.0900940072589024+0.00396421732885982+0.0572052587068733+0.752028927432513)) * 0.766129377901031%</f>
        <v>4.8518761749015502E-4</v>
      </c>
      <c r="D2478" t="s">
        <v>256</v>
      </c>
      <c r="E2478" t="s">
        <v>281</v>
      </c>
      <c r="F2478" t="s">
        <v>442</v>
      </c>
      <c r="G2478" s="4" t="s">
        <v>245</v>
      </c>
    </row>
    <row r="2479" spans="1:7" hidden="1" x14ac:dyDescent="0.2">
      <c r="A2479" t="s">
        <v>68</v>
      </c>
      <c r="B2479" t="s">
        <v>161</v>
      </c>
      <c r="C2479" s="4">
        <f>(0.752028927432513/(0.0900940072589024+0.00396421732885982+0.0572052587068733+0.752028927432513)) * 0.766129377901031%</f>
        <v>6.3783493306851773E-3</v>
      </c>
      <c r="D2479" t="s">
        <v>256</v>
      </c>
      <c r="E2479" t="s">
        <v>367</v>
      </c>
      <c r="F2479" t="s">
        <v>442</v>
      </c>
      <c r="G2479" s="4" t="s">
        <v>245</v>
      </c>
    </row>
    <row r="2480" spans="1:7" hidden="1" x14ac:dyDescent="0.2">
      <c r="A2480" t="s">
        <v>68</v>
      </c>
      <c r="B2480" t="s">
        <v>175</v>
      </c>
      <c r="C2480" s="4">
        <f>(0.0900940072589024/(0.0900940072589024+0.00396421732885982+0.0572052587068733+0.752028927432513)) * 0.0217131491179174%</f>
        <v>2.165660411857688E-5</v>
      </c>
      <c r="D2480" t="s">
        <v>242</v>
      </c>
      <c r="E2480" t="s">
        <v>371</v>
      </c>
      <c r="F2480" t="s">
        <v>442</v>
      </c>
      <c r="G2480" s="4" t="s">
        <v>245</v>
      </c>
    </row>
    <row r="2481" spans="1:7" hidden="1" x14ac:dyDescent="0.2">
      <c r="A2481" t="s">
        <v>68</v>
      </c>
      <c r="B2481" t="s">
        <v>175</v>
      </c>
      <c r="C2481" s="4">
        <f>(0.00396421732885982/(0.0900940072589024+0.00396421732885982+0.0572052587068733+0.752028927432513))  * 0.0217131491179174%</f>
        <v>9.5291005409947784E-7</v>
      </c>
      <c r="D2481" t="s">
        <v>256</v>
      </c>
      <c r="E2481" t="s">
        <v>366</v>
      </c>
      <c r="F2481" t="s">
        <v>442</v>
      </c>
      <c r="G2481" s="4" t="s">
        <v>245</v>
      </c>
    </row>
    <row r="2482" spans="1:7" hidden="1" x14ac:dyDescent="0.2">
      <c r="A2482" t="s">
        <v>68</v>
      </c>
      <c r="B2482" t="s">
        <v>175</v>
      </c>
      <c r="C2482" s="4">
        <f>(0.0572052587068733/(0.0900940072589024+0.00396421732885982+0.0572052587068733+0.752028927432513)) * 0.0217131491179174%</f>
        <v>1.3750877322565896E-5</v>
      </c>
      <c r="D2482" t="s">
        <v>256</v>
      </c>
      <c r="E2482" t="s">
        <v>281</v>
      </c>
      <c r="F2482" t="s">
        <v>442</v>
      </c>
      <c r="G2482" s="4" t="s">
        <v>245</v>
      </c>
    </row>
    <row r="2483" spans="1:7" hidden="1" x14ac:dyDescent="0.2">
      <c r="A2483" t="s">
        <v>68</v>
      </c>
      <c r="B2483" t="s">
        <v>175</v>
      </c>
      <c r="C2483" s="4">
        <f>(0.752028927432513/(0.0900940072589024+0.00396421732885982+0.0572052587068733+0.752028927432513)) * 0.0217131491179174%</f>
        <v>1.8077109968393174E-4</v>
      </c>
      <c r="D2483" t="s">
        <v>256</v>
      </c>
      <c r="E2483" t="s">
        <v>367</v>
      </c>
      <c r="F2483" t="s">
        <v>442</v>
      </c>
      <c r="G2483" s="4" t="s">
        <v>245</v>
      </c>
    </row>
    <row r="2484" spans="1:7" hidden="1" x14ac:dyDescent="0.2">
      <c r="A2484" t="s">
        <v>68</v>
      </c>
      <c r="B2484" t="s">
        <v>131</v>
      </c>
      <c r="C2484" s="4">
        <f>(0.0900940072589024/(0.0900940072589024+0.00396421732885982+0.0572052587068733+0.752028927432513)) * 0.0167784092183407%</f>
        <v>1.6734715181467758E-5</v>
      </c>
      <c r="D2484" t="s">
        <v>242</v>
      </c>
      <c r="E2484" t="s">
        <v>371</v>
      </c>
      <c r="F2484" t="s">
        <v>442</v>
      </c>
      <c r="G2484" s="4" t="s">
        <v>245</v>
      </c>
    </row>
    <row r="2485" spans="1:7" hidden="1" x14ac:dyDescent="0.2">
      <c r="A2485" t="s">
        <v>68</v>
      </c>
      <c r="B2485" t="s">
        <v>131</v>
      </c>
      <c r="C2485" s="4">
        <f>(0.00396421732885982/(0.0900940072589024+0.00396421732885982+0.0572052587068733+0.752028927432513))  * 0.0167784092183407%</f>
        <v>7.3634251527148931E-7</v>
      </c>
      <c r="D2485" t="s">
        <v>256</v>
      </c>
      <c r="E2485" t="s">
        <v>366</v>
      </c>
      <c r="F2485" t="s">
        <v>442</v>
      </c>
      <c r="G2485" s="4" t="s">
        <v>245</v>
      </c>
    </row>
    <row r="2486" spans="1:7" hidden="1" x14ac:dyDescent="0.2">
      <c r="A2486" t="s">
        <v>68</v>
      </c>
      <c r="B2486" t="s">
        <v>131</v>
      </c>
      <c r="C2486" s="4">
        <f>(0.0572052587068733/(0.0900940072589024+0.00396421732885982+0.0572052587068733+0.752028927432513)) * 0.0167784092183407%</f>
        <v>1.0625720183482112E-5</v>
      </c>
      <c r="D2486" t="s">
        <v>256</v>
      </c>
      <c r="E2486" t="s">
        <v>281</v>
      </c>
      <c r="F2486" t="s">
        <v>442</v>
      </c>
      <c r="G2486" s="4" t="s">
        <v>245</v>
      </c>
    </row>
    <row r="2487" spans="1:7" hidden="1" x14ac:dyDescent="0.2">
      <c r="A2487" t="s">
        <v>68</v>
      </c>
      <c r="B2487" t="s">
        <v>131</v>
      </c>
      <c r="C2487" s="4">
        <f>(0.752028927432513/(0.0900940072589024+0.00396421732885982+0.0572052587068733+0.752028927432513)) * 0.0167784092183407%</f>
        <v>1.3968731430318566E-4</v>
      </c>
      <c r="D2487" t="s">
        <v>256</v>
      </c>
      <c r="E2487" t="s">
        <v>367</v>
      </c>
      <c r="F2487" t="s">
        <v>442</v>
      </c>
      <c r="G2487" s="4" t="s">
        <v>245</v>
      </c>
    </row>
    <row r="2488" spans="1:7" hidden="1" x14ac:dyDescent="0.2">
      <c r="A2488" t="s">
        <v>68</v>
      </c>
      <c r="B2488" t="s">
        <v>201</v>
      </c>
      <c r="C2488" s="4">
        <f>(0.0900940072589024/(0.0900940072589024+0.00396421732885982+0.0572052587068733+0.752028927432513)) * 0.0640752931517318%</f>
        <v>6.3908429405283411E-5</v>
      </c>
      <c r="D2488" t="s">
        <v>242</v>
      </c>
      <c r="E2488" t="s">
        <v>371</v>
      </c>
      <c r="F2488" t="s">
        <v>442</v>
      </c>
      <c r="G2488" s="4" t="s">
        <v>245</v>
      </c>
    </row>
    <row r="2489" spans="1:7" hidden="1" x14ac:dyDescent="0.2">
      <c r="A2489" t="s">
        <v>68</v>
      </c>
      <c r="B2489" t="s">
        <v>201</v>
      </c>
      <c r="C2489" s="4">
        <f>(0.00396421732885982/(0.0900940072589024+0.00396421732885982+0.0572052587068733+0.752028927432513))  * 0.0640752931517318%</f>
        <v>2.8120283581192937E-6</v>
      </c>
      <c r="D2489" t="s">
        <v>256</v>
      </c>
      <c r="E2489" t="s">
        <v>366</v>
      </c>
      <c r="F2489" t="s">
        <v>442</v>
      </c>
      <c r="G2489" s="4" t="s">
        <v>245</v>
      </c>
    </row>
    <row r="2490" spans="1:7" hidden="1" x14ac:dyDescent="0.2">
      <c r="A2490" t="s">
        <v>68</v>
      </c>
      <c r="B2490" t="s">
        <v>201</v>
      </c>
      <c r="C2490" s="4">
        <f>(0.0572052587068733/(0.0900940072589024+0.00396421732885982+0.0572052587068733+0.752028927432513)) * 0.0640752931517318%</f>
        <v>4.0578706052815054E-5</v>
      </c>
      <c r="D2490" t="s">
        <v>256</v>
      </c>
      <c r="E2490" t="s">
        <v>281</v>
      </c>
      <c r="F2490" t="s">
        <v>442</v>
      </c>
      <c r="G2490" s="4" t="s">
        <v>245</v>
      </c>
    </row>
    <row r="2491" spans="1:7" hidden="1" x14ac:dyDescent="0.2">
      <c r="A2491" t="s">
        <v>68</v>
      </c>
      <c r="B2491" t="s">
        <v>201</v>
      </c>
      <c r="C2491" s="4">
        <f>(0.752028927432513/(0.0900940072589024+0.00396421732885982+0.0572052587068733+0.752028927432513)) * 0.0640752931517318%</f>
        <v>5.3345376770110031E-4</v>
      </c>
      <c r="D2491" t="s">
        <v>256</v>
      </c>
      <c r="E2491" t="s">
        <v>367</v>
      </c>
      <c r="F2491" t="s">
        <v>442</v>
      </c>
      <c r="G2491" s="4" t="s">
        <v>245</v>
      </c>
    </row>
    <row r="2492" spans="1:7" hidden="1" x14ac:dyDescent="0.2">
      <c r="A2492" t="s">
        <v>68</v>
      </c>
      <c r="B2492" t="s">
        <v>202</v>
      </c>
      <c r="C2492" s="4">
        <f>(0.0900940072589024/(0.0900940072589024+0.00396421732885982+0.0572052587068733+0.752028927432513)) * 0.000215766438202789%</f>
        <v>2.1520454305622937E-7</v>
      </c>
      <c r="D2492" t="s">
        <v>242</v>
      </c>
      <c r="E2492" t="s">
        <v>371</v>
      </c>
      <c r="F2492" t="s">
        <v>442</v>
      </c>
      <c r="G2492" s="4" t="s">
        <v>245</v>
      </c>
    </row>
    <row r="2493" spans="1:7" hidden="1" x14ac:dyDescent="0.2">
      <c r="A2493" t="s">
        <v>68</v>
      </c>
      <c r="B2493" t="s">
        <v>202</v>
      </c>
      <c r="C2493" s="4">
        <f>(0.00396421732885982/(0.0900940072589024+0.00396421732885982+0.0572052587068733+0.752028927432513))  * 0.000215766438202789%</f>
        <v>9.4691933990822157E-9</v>
      </c>
      <c r="D2493" t="s">
        <v>256</v>
      </c>
      <c r="E2493" t="s">
        <v>366</v>
      </c>
      <c r="F2493" t="s">
        <v>442</v>
      </c>
      <c r="G2493" s="4" t="s">
        <v>245</v>
      </c>
    </row>
    <row r="2494" spans="1:7" hidden="1" x14ac:dyDescent="0.2">
      <c r="A2494" t="s">
        <v>68</v>
      </c>
      <c r="B2494" t="s">
        <v>202</v>
      </c>
      <c r="C2494" s="4">
        <f>(0.0572052587068733/(0.0900940072589024+0.00396421732885982+0.0572052587068733+0.752028927432513)) * 0.000215766438202789%</f>
        <v>1.3664428894863693E-7</v>
      </c>
      <c r="D2494" t="s">
        <v>256</v>
      </c>
      <c r="E2494" t="s">
        <v>281</v>
      </c>
      <c r="F2494" t="s">
        <v>442</v>
      </c>
      <c r="G2494" s="4" t="s">
        <v>245</v>
      </c>
    </row>
    <row r="2495" spans="1:7" hidden="1" x14ac:dyDescent="0.2">
      <c r="A2495" t="s">
        <v>68</v>
      </c>
      <c r="B2495" t="s">
        <v>202</v>
      </c>
      <c r="C2495" s="4">
        <f>(0.752028927432513/(0.0900940072589024+0.00396421732885982+0.0572052587068733+0.752028927432513)) * 0.000215766438202789%</f>
        <v>1.7963463566239413E-6</v>
      </c>
      <c r="D2495" t="s">
        <v>256</v>
      </c>
      <c r="E2495" t="s">
        <v>367</v>
      </c>
      <c r="F2495" t="s">
        <v>442</v>
      </c>
      <c r="G2495" s="4" t="s">
        <v>245</v>
      </c>
    </row>
    <row r="2496" spans="1:7" hidden="1" x14ac:dyDescent="0.2">
      <c r="A2496" t="s">
        <v>68</v>
      </c>
      <c r="B2496" t="s">
        <v>176</v>
      </c>
      <c r="C2496" s="4">
        <f>(0.0900940072589024/(0.0900940072589024+0.00396421732885982+0.0572052587068733+0.752028927432513)) * 0.0467229745637496%</f>
        <v>4.6601299418815693E-5</v>
      </c>
      <c r="D2496" t="s">
        <v>242</v>
      </c>
      <c r="E2496" t="s">
        <v>371</v>
      </c>
      <c r="F2496" t="s">
        <v>442</v>
      </c>
      <c r="G2496" s="4" t="s">
        <v>245</v>
      </c>
    </row>
    <row r="2497" spans="1:7" hidden="1" x14ac:dyDescent="0.2">
      <c r="A2497" t="s">
        <v>68</v>
      </c>
      <c r="B2497" t="s">
        <v>176</v>
      </c>
      <c r="C2497" s="4">
        <f>(0.00396421732885982/(0.0900940072589024+0.00396421732885982+0.0572052587068733+0.752028927432513))  * 0.0467229745637496%</f>
        <v>2.0504990767318756E-6</v>
      </c>
      <c r="D2497" t="s">
        <v>256</v>
      </c>
      <c r="E2497" t="s">
        <v>366</v>
      </c>
      <c r="F2497" t="s">
        <v>442</v>
      </c>
      <c r="G2497" s="4" t="s">
        <v>245</v>
      </c>
    </row>
    <row r="2498" spans="1:7" hidden="1" x14ac:dyDescent="0.2">
      <c r="A2498" t="s">
        <v>68</v>
      </c>
      <c r="B2498" t="s">
        <v>176</v>
      </c>
      <c r="C2498" s="4">
        <f>(0.0572052587068733/(0.0900940072589024+0.00396421732885982+0.0572052587068733+0.752028927432513)) * 0.0467229745637496%</f>
        <v>2.9589530651789248E-5</v>
      </c>
      <c r="D2498" t="s">
        <v>256</v>
      </c>
      <c r="E2498" t="s">
        <v>281</v>
      </c>
      <c r="F2498" t="s">
        <v>442</v>
      </c>
      <c r="G2498" s="4" t="s">
        <v>245</v>
      </c>
    </row>
    <row r="2499" spans="1:7" hidden="1" x14ac:dyDescent="0.2">
      <c r="A2499" t="s">
        <v>68</v>
      </c>
      <c r="B2499" t="s">
        <v>176</v>
      </c>
      <c r="C2499" s="4">
        <f>(0.752028927432513/(0.0900940072589024+0.00396421732885982+0.0572052587068733+0.752028927432513)) * 0.0467229745637496%</f>
        <v>3.8898841649015925E-4</v>
      </c>
      <c r="D2499" t="s">
        <v>256</v>
      </c>
      <c r="E2499" t="s">
        <v>367</v>
      </c>
      <c r="F2499" t="s">
        <v>442</v>
      </c>
      <c r="G2499" s="4" t="s">
        <v>245</v>
      </c>
    </row>
    <row r="2500" spans="1:7" hidden="1" x14ac:dyDescent="0.2">
      <c r="A2500" t="s">
        <v>68</v>
      </c>
      <c r="B2500" t="s">
        <v>177</v>
      </c>
      <c r="C2500" s="4">
        <f>(0.0900940072589024/(0.0900940072589024+0.00396421732885982+0.0572052587068733+0.752028927432513)) * 0.119818625851367%</f>
        <v>1.1950659630268416E-4</v>
      </c>
      <c r="D2500" t="s">
        <v>242</v>
      </c>
      <c r="E2500" t="s">
        <v>371</v>
      </c>
      <c r="F2500" t="s">
        <v>442</v>
      </c>
      <c r="G2500" s="4" t="s">
        <v>245</v>
      </c>
    </row>
    <row r="2501" spans="1:7" hidden="1" x14ac:dyDescent="0.2">
      <c r="A2501" t="s">
        <v>68</v>
      </c>
      <c r="B2501" t="s">
        <v>177</v>
      </c>
      <c r="C2501" s="4">
        <f>(0.00396421732885982/(0.0900940072589024+0.00396421732885982+0.0572052587068733+0.752028927432513))  * 0.119818625851367%</f>
        <v>5.258397693586253E-6</v>
      </c>
      <c r="D2501" t="s">
        <v>256</v>
      </c>
      <c r="E2501" t="s">
        <v>366</v>
      </c>
      <c r="F2501" t="s">
        <v>442</v>
      </c>
      <c r="G2501" s="4" t="s">
        <v>245</v>
      </c>
    </row>
    <row r="2502" spans="1:7" hidden="1" x14ac:dyDescent="0.2">
      <c r="A2502" t="s">
        <v>68</v>
      </c>
      <c r="B2502" t="s">
        <v>177</v>
      </c>
      <c r="C2502" s="4">
        <f>(0.0572052587068733/(0.0900940072589024+0.00396421732885982+0.0572052587068733+0.752028927432513)) * 0.119818625851367%</f>
        <v>7.5880804580344527E-5</v>
      </c>
      <c r="D2502" t="s">
        <v>256</v>
      </c>
      <c r="E2502" t="s">
        <v>281</v>
      </c>
      <c r="F2502" t="s">
        <v>442</v>
      </c>
      <c r="G2502" s="4" t="s">
        <v>245</v>
      </c>
    </row>
    <row r="2503" spans="1:7" hidden="1" x14ac:dyDescent="0.2">
      <c r="A2503" t="s">
        <v>68</v>
      </c>
      <c r="B2503" t="s">
        <v>177</v>
      </c>
      <c r="C2503" s="4">
        <f>(0.752028927432513/(0.0900940072589024+0.00396421732885982+0.0572052587068733+0.752028927432513)) * 0.119818625851367%</f>
        <v>9.9754045993705512E-4</v>
      </c>
      <c r="D2503" t="s">
        <v>256</v>
      </c>
      <c r="E2503" t="s">
        <v>367</v>
      </c>
      <c r="F2503" t="s">
        <v>442</v>
      </c>
      <c r="G2503" s="4" t="s">
        <v>245</v>
      </c>
    </row>
    <row r="2504" spans="1:7" hidden="1" x14ac:dyDescent="0.2">
      <c r="A2504" t="s">
        <v>68</v>
      </c>
      <c r="B2504" t="s">
        <v>155</v>
      </c>
      <c r="C2504" s="4">
        <v>4.0471692441411047E-3</v>
      </c>
      <c r="D2504" t="s">
        <v>368</v>
      </c>
      <c r="E2504" t="s">
        <v>366</v>
      </c>
      <c r="F2504" t="s">
        <v>442</v>
      </c>
      <c r="G2504" s="4" t="s">
        <v>245</v>
      </c>
    </row>
    <row r="2505" spans="1:7" hidden="1" x14ac:dyDescent="0.2">
      <c r="A2505" t="s">
        <v>68</v>
      </c>
      <c r="B2505" t="s">
        <v>146</v>
      </c>
      <c r="C2505" s="4">
        <f>(0.0900940072589024/(0.0900940072589024+0.00396421732885982+0.0572052587068733+0.752028927432513)) * 13.5565766902027%</f>
        <v>1.3521272892681473E-2</v>
      </c>
      <c r="D2505" t="s">
        <v>242</v>
      </c>
      <c r="E2505" t="s">
        <v>371</v>
      </c>
      <c r="F2505" t="s">
        <v>442</v>
      </c>
      <c r="G2505" s="4" t="s">
        <v>245</v>
      </c>
    </row>
    <row r="2506" spans="1:7" hidden="1" x14ac:dyDescent="0.2">
      <c r="A2506" t="s">
        <v>68</v>
      </c>
      <c r="B2506" t="s">
        <v>146</v>
      </c>
      <c r="C2506" s="4">
        <f>(0.00396421732885982/(0.0900940072589024+0.00396421732885982+0.0572052587068733+0.752028927432513))  * 13.5565766902027%</f>
        <v>5.9494816514684421E-4</v>
      </c>
      <c r="D2506" t="s">
        <v>256</v>
      </c>
      <c r="E2506" t="s">
        <v>366</v>
      </c>
      <c r="F2506" t="s">
        <v>442</v>
      </c>
      <c r="G2506" s="4" t="s">
        <v>245</v>
      </c>
    </row>
    <row r="2507" spans="1:7" hidden="1" x14ac:dyDescent="0.2">
      <c r="A2507" t="s">
        <v>68</v>
      </c>
      <c r="B2507" t="s">
        <v>146</v>
      </c>
      <c r="C2507" s="4">
        <f>(0.0572052587068733/(0.0900940072589024+0.00396421732885982+0.0572052587068733+0.752028927432513)) * 13.5565766902027%</f>
        <v>8.5853425483596365E-3</v>
      </c>
      <c r="D2507" t="s">
        <v>256</v>
      </c>
      <c r="E2507" t="s">
        <v>281</v>
      </c>
      <c r="F2507" t="s">
        <v>442</v>
      </c>
      <c r="G2507" s="4" t="s">
        <v>245</v>
      </c>
    </row>
    <row r="2508" spans="1:7" hidden="1" x14ac:dyDescent="0.2">
      <c r="A2508" t="s">
        <v>68</v>
      </c>
      <c r="B2508" t="s">
        <v>146</v>
      </c>
      <c r="C2508" s="4">
        <f>(0.752028927432513/(0.0900940072589024+0.00396421732885982+0.0572052587068733+0.752028927432513)) * 13.5565766902027%</f>
        <v>0.11286420329583907</v>
      </c>
      <c r="D2508" t="s">
        <v>256</v>
      </c>
      <c r="E2508" t="s">
        <v>367</v>
      </c>
      <c r="F2508" t="s">
        <v>442</v>
      </c>
      <c r="G2508" s="4" t="s">
        <v>245</v>
      </c>
    </row>
    <row r="2509" spans="1:7" hidden="1" x14ac:dyDescent="0.2">
      <c r="A2509" t="s">
        <v>68</v>
      </c>
      <c r="B2509" t="s">
        <v>156</v>
      </c>
      <c r="C2509" s="4">
        <f>(0.0900940072589024/(0.0900940072589024+0.00396421732885982+0.0572052587068733+0.752028927432513)) * 0.108380069028821%</f>
        <v>1.0809782756773773E-4</v>
      </c>
      <c r="D2509" t="s">
        <v>242</v>
      </c>
      <c r="E2509" t="s">
        <v>371</v>
      </c>
      <c r="F2509" t="s">
        <v>442</v>
      </c>
      <c r="G2509" s="4" t="s">
        <v>245</v>
      </c>
    </row>
    <row r="2510" spans="1:7" hidden="1" x14ac:dyDescent="0.2">
      <c r="A2510" t="s">
        <v>68</v>
      </c>
      <c r="B2510" t="s">
        <v>156</v>
      </c>
      <c r="C2510" s="4">
        <f>(0.00396421732885982/(0.0900940072589024+0.00396421732885982+0.0572052587068733+0.752028927432513))  * 0.108380069028821%</f>
        <v>4.7564016108716643E-6</v>
      </c>
      <c r="D2510" t="s">
        <v>256</v>
      </c>
      <c r="E2510" t="s">
        <v>366</v>
      </c>
      <c r="F2510" t="s">
        <v>442</v>
      </c>
      <c r="G2510" s="4" t="s">
        <v>245</v>
      </c>
    </row>
    <row r="2511" spans="1:7" hidden="1" x14ac:dyDescent="0.2">
      <c r="A2511" t="s">
        <v>68</v>
      </c>
      <c r="B2511" t="s">
        <v>156</v>
      </c>
      <c r="C2511" s="4">
        <f>(0.0572052587068733/(0.0900940072589024+0.00396421732885982+0.0572052587068733+0.752028927432513)) * 0.108380069028821%</f>
        <v>6.8636798160094995E-5</v>
      </c>
      <c r="D2511" t="s">
        <v>256</v>
      </c>
      <c r="E2511" t="s">
        <v>281</v>
      </c>
      <c r="F2511" t="s">
        <v>442</v>
      </c>
      <c r="G2511" s="4" t="s">
        <v>245</v>
      </c>
    </row>
    <row r="2512" spans="1:7" hidden="1" x14ac:dyDescent="0.2">
      <c r="A2512" t="s">
        <v>68</v>
      </c>
      <c r="B2512" t="s">
        <v>156</v>
      </c>
      <c r="C2512" s="4">
        <f>(0.752028927432513/(0.0900940072589024+0.00396421732885982+0.0572052587068733+0.752028927432513)) * 0.108380069028821%</f>
        <v>9.0230966294950574E-4</v>
      </c>
      <c r="D2512" t="s">
        <v>256</v>
      </c>
      <c r="E2512" t="s">
        <v>367</v>
      </c>
      <c r="F2512" t="s">
        <v>442</v>
      </c>
      <c r="G2512" s="4" t="s">
        <v>245</v>
      </c>
    </row>
    <row r="2513" spans="1:7" hidden="1" x14ac:dyDescent="0.2">
      <c r="A2513" t="s">
        <v>68</v>
      </c>
      <c r="B2513" t="s">
        <v>151</v>
      </c>
      <c r="C2513" s="4">
        <f>(0.0900940072589024/(0.0900940072589024+0.00396421732885982+0.0572052587068733+0.752028927432513)) * 5.4022338490161%</f>
        <v>5.3881654470643138E-3</v>
      </c>
      <c r="D2513" t="s">
        <v>242</v>
      </c>
      <c r="E2513" t="s">
        <v>371</v>
      </c>
      <c r="F2513" t="s">
        <v>442</v>
      </c>
      <c r="G2513" s="4" t="s">
        <v>245</v>
      </c>
    </row>
    <row r="2514" spans="1:7" hidden="1" x14ac:dyDescent="0.2">
      <c r="A2514" t="s">
        <v>68</v>
      </c>
      <c r="B2514" t="s">
        <v>151</v>
      </c>
      <c r="C2514" s="4">
        <f>(0.00396421732885982/(0.0900940072589024+0.00396421732885982+0.0572052587068733+0.752028927432513))  * 5.4022338490161%</f>
        <v>2.3708412452600123E-4</v>
      </c>
      <c r="D2514" t="s">
        <v>256</v>
      </c>
      <c r="E2514" t="s">
        <v>366</v>
      </c>
      <c r="F2514" t="s">
        <v>442</v>
      </c>
      <c r="G2514" s="4" t="s">
        <v>245</v>
      </c>
    </row>
    <row r="2515" spans="1:7" hidden="1" x14ac:dyDescent="0.2">
      <c r="A2515" t="s">
        <v>68</v>
      </c>
      <c r="B2515" t="s">
        <v>151</v>
      </c>
      <c r="C2515" s="4">
        <f>(0.0572052587068733/(0.0900940072589024+0.00396421732885982+0.0572052587068733+0.752028927432513)) * 5.4022338490161%</f>
        <v>3.42121976513918E-3</v>
      </c>
      <c r="D2515" t="s">
        <v>256</v>
      </c>
      <c r="E2515" t="s">
        <v>281</v>
      </c>
      <c r="F2515" t="s">
        <v>442</v>
      </c>
      <c r="G2515" s="4" t="s">
        <v>245</v>
      </c>
    </row>
    <row r="2516" spans="1:7" hidden="1" x14ac:dyDescent="0.2">
      <c r="A2516" t="s">
        <v>68</v>
      </c>
      <c r="B2516" t="s">
        <v>151</v>
      </c>
      <c r="C2516" s="4">
        <f>(0.752028927432513/(0.0900940072589024+0.00396421732885982+0.0572052587068733+0.752028927432513)) * 5.4022338490161%</f>
        <v>4.4975869153431505E-2</v>
      </c>
      <c r="D2516" t="s">
        <v>256</v>
      </c>
      <c r="E2516" t="s">
        <v>367</v>
      </c>
      <c r="F2516" t="s">
        <v>442</v>
      </c>
      <c r="G2516" s="4" t="s">
        <v>245</v>
      </c>
    </row>
    <row r="2517" spans="1:7" hidden="1" x14ac:dyDescent="0.2">
      <c r="A2517" t="s">
        <v>68</v>
      </c>
      <c r="B2517" t="s">
        <v>178</v>
      </c>
      <c r="C2517" s="4">
        <f>(0.0900940072589024/(0.0900940072589024+0.00396421732885982+0.0572052587068733+0.752028927432513)) * 0.308374274158766%</f>
        <v>3.0757121132185349E-4</v>
      </c>
      <c r="D2517" t="s">
        <v>242</v>
      </c>
      <c r="E2517" t="s">
        <v>371</v>
      </c>
      <c r="F2517" t="s">
        <v>442</v>
      </c>
      <c r="G2517" s="4" t="s">
        <v>245</v>
      </c>
    </row>
    <row r="2518" spans="1:7" hidden="1" x14ac:dyDescent="0.2">
      <c r="A2518" t="s">
        <v>68</v>
      </c>
      <c r="B2518" t="s">
        <v>178</v>
      </c>
      <c r="C2518" s="4">
        <f>(0.00396421732885982/(0.0900940072589024+0.00396421732885982+0.0572052587068733+0.752028927432513))  * 0.308374274158766%</f>
        <v>1.3533409855737298E-5</v>
      </c>
      <c r="D2518" t="s">
        <v>256</v>
      </c>
      <c r="E2518" t="s">
        <v>366</v>
      </c>
      <c r="F2518" t="s">
        <v>442</v>
      </c>
      <c r="G2518" s="4" t="s">
        <v>245</v>
      </c>
    </row>
    <row r="2519" spans="1:7" hidden="1" x14ac:dyDescent="0.2">
      <c r="A2519" t="s">
        <v>68</v>
      </c>
      <c r="B2519" t="s">
        <v>178</v>
      </c>
      <c r="C2519" s="4">
        <f>(0.0572052587068733/(0.0900940072589024+0.00396421732885982+0.0572052587068733+0.752028927432513)) * 0.308374274158766%</f>
        <v>1.952925754971838E-4</v>
      </c>
      <c r="D2519" t="s">
        <v>256</v>
      </c>
      <c r="E2519" t="s">
        <v>281</v>
      </c>
      <c r="F2519" t="s">
        <v>442</v>
      </c>
      <c r="G2519" s="4" t="s">
        <v>245</v>
      </c>
    </row>
    <row r="2520" spans="1:7" hidden="1" x14ac:dyDescent="0.2">
      <c r="A2520" t="s">
        <v>68</v>
      </c>
      <c r="B2520" t="s">
        <v>178</v>
      </c>
      <c r="C2520" s="4">
        <f>(0.752028927432513/(0.0900940072589024+0.00396421732885982+0.0572052587068733+0.752028927432513)) * 0.308374274158766%</f>
        <v>2.5673455449128856E-3</v>
      </c>
      <c r="D2520" t="s">
        <v>256</v>
      </c>
      <c r="E2520" t="s">
        <v>367</v>
      </c>
      <c r="F2520" t="s">
        <v>442</v>
      </c>
      <c r="G2520" s="4" t="s">
        <v>245</v>
      </c>
    </row>
    <row r="2521" spans="1:7" hidden="1" x14ac:dyDescent="0.2">
      <c r="A2521" t="s">
        <v>68</v>
      </c>
      <c r="B2521" t="s">
        <v>120</v>
      </c>
      <c r="C2521" s="4">
        <f>(0.0900940072589024/(0.0900940072589024+0.00396421732885982+0.0572052587068733+0.752028927432513)) * 0.0660509504702417%</f>
        <v>6.5878941751907125E-5</v>
      </c>
      <c r="D2521" t="s">
        <v>242</v>
      </c>
      <c r="E2521" t="s">
        <v>371</v>
      </c>
      <c r="F2521" t="s">
        <v>442</v>
      </c>
      <c r="G2521" s="4" t="s">
        <v>245</v>
      </c>
    </row>
    <row r="2522" spans="1:7" hidden="1" x14ac:dyDescent="0.2">
      <c r="A2522" t="s">
        <v>68</v>
      </c>
      <c r="B2522" t="s">
        <v>120</v>
      </c>
      <c r="C2522" s="4">
        <f>(0.00396421732885982/(0.0900940072589024+0.00396421732885982+0.0572052587068733+0.752028927432513))  * 0.0660509504702417%</f>
        <v>2.8987326731884412E-6</v>
      </c>
      <c r="D2522" t="s">
        <v>256</v>
      </c>
      <c r="E2522" t="s">
        <v>366</v>
      </c>
      <c r="F2522" t="s">
        <v>442</v>
      </c>
      <c r="G2522" s="4" t="s">
        <v>245</v>
      </c>
    </row>
    <row r="2523" spans="1:7" hidden="1" x14ac:dyDescent="0.2">
      <c r="A2523" t="s">
        <v>68</v>
      </c>
      <c r="B2523" t="s">
        <v>120</v>
      </c>
      <c r="C2523" s="4">
        <f>(0.0572052587068733/(0.0900940072589024+0.00396421732885982+0.0572052587068733+0.752028927432513)) * 0.0660509504702417%</f>
        <v>4.1829884372031833E-5</v>
      </c>
      <c r="D2523" t="s">
        <v>256</v>
      </c>
      <c r="E2523" t="s">
        <v>281</v>
      </c>
      <c r="F2523" t="s">
        <v>442</v>
      </c>
      <c r="G2523" s="4" t="s">
        <v>245</v>
      </c>
    </row>
    <row r="2524" spans="1:7" hidden="1" x14ac:dyDescent="0.2">
      <c r="A2524" t="s">
        <v>68</v>
      </c>
      <c r="B2524" t="s">
        <v>120</v>
      </c>
      <c r="C2524" s="4">
        <f>(0.752028927432513/(0.0900940072589024+0.00396421732885982+0.0572052587068733+0.752028927432513)) * 0.0660509504702417%</f>
        <v>5.4990194590528963E-4</v>
      </c>
      <c r="D2524" t="s">
        <v>256</v>
      </c>
      <c r="E2524" t="s">
        <v>367</v>
      </c>
      <c r="F2524" t="s">
        <v>442</v>
      </c>
      <c r="G2524" s="4" t="s">
        <v>245</v>
      </c>
    </row>
    <row r="2525" spans="1:7" hidden="1" x14ac:dyDescent="0.2">
      <c r="A2525" t="s">
        <v>68</v>
      </c>
      <c r="B2525" t="s">
        <v>107</v>
      </c>
      <c r="C2525" s="4">
        <f>(0.0900940072589024/(0.0900940072589024+0.00396421732885982+0.0572052587068733+0.752028927432513)) * 4.97077436255549%</f>
        <v>4.9578295597760245E-3</v>
      </c>
      <c r="D2525" t="s">
        <v>242</v>
      </c>
      <c r="E2525" t="s">
        <v>371</v>
      </c>
      <c r="F2525" t="s">
        <v>442</v>
      </c>
      <c r="G2525" s="4" t="s">
        <v>245</v>
      </c>
    </row>
    <row r="2526" spans="1:7" hidden="1" x14ac:dyDescent="0.2">
      <c r="A2526" t="s">
        <v>68</v>
      </c>
      <c r="B2526" t="s">
        <v>107</v>
      </c>
      <c r="C2526" s="4">
        <f>(0.00396421732885982/(0.0900940072589024+0.00396421732885982+0.0572052587068733+0.752028927432513))  * 4.97077436255549%</f>
        <v>2.1814895854191816E-4</v>
      </c>
      <c r="D2526" t="s">
        <v>256</v>
      </c>
      <c r="E2526" t="s">
        <v>366</v>
      </c>
      <c r="F2526" t="s">
        <v>442</v>
      </c>
      <c r="G2526" s="4" t="s">
        <v>245</v>
      </c>
    </row>
    <row r="2527" spans="1:7" hidden="1" x14ac:dyDescent="0.2">
      <c r="A2527" t="s">
        <v>68</v>
      </c>
      <c r="B2527" t="s">
        <v>107</v>
      </c>
      <c r="C2527" s="4">
        <f>(0.0572052587068733/(0.0900940072589024+0.00396421732885982+0.0572052587068733+0.752028927432513)) * 4.97077436255549%</f>
        <v>3.1479776648912091E-3</v>
      </c>
      <c r="D2527" t="s">
        <v>256</v>
      </c>
      <c r="E2527" t="s">
        <v>281</v>
      </c>
      <c r="F2527" t="s">
        <v>442</v>
      </c>
      <c r="G2527" s="4" t="s">
        <v>245</v>
      </c>
    </row>
    <row r="2528" spans="1:7" hidden="1" x14ac:dyDescent="0.2">
      <c r="A2528" t="s">
        <v>68</v>
      </c>
      <c r="B2528" t="s">
        <v>107</v>
      </c>
      <c r="C2528" s="4">
        <f>(0.752028927432513/(0.0900940072589024+0.00396421732885982+0.0572052587068733+0.752028927432513)) * 4.97077436255549%</f>
        <v>4.1383787442345749E-2</v>
      </c>
      <c r="D2528" t="s">
        <v>256</v>
      </c>
      <c r="E2528" t="s">
        <v>367</v>
      </c>
      <c r="F2528" t="s">
        <v>442</v>
      </c>
      <c r="G2528" s="4" t="s">
        <v>245</v>
      </c>
    </row>
    <row r="2529" spans="1:7" hidden="1" x14ac:dyDescent="0.2">
      <c r="A2529" t="s">
        <v>68</v>
      </c>
      <c r="B2529" t="s">
        <v>108</v>
      </c>
      <c r="C2529" s="4">
        <f>(0.0900940072589024/(0.0900940072589024+0.00396421732885982+0.0572052587068733+0.752028927432513)) * 0.0214959148808153%</f>
        <v>2.1439935599037306E-5</v>
      </c>
      <c r="D2529" t="s">
        <v>242</v>
      </c>
      <c r="E2529" t="s">
        <v>371</v>
      </c>
      <c r="F2529" t="s">
        <v>442</v>
      </c>
      <c r="G2529" s="4" t="s">
        <v>245</v>
      </c>
    </row>
    <row r="2530" spans="1:7" hidden="1" x14ac:dyDescent="0.2">
      <c r="A2530" t="s">
        <v>68</v>
      </c>
      <c r="B2530" t="s">
        <v>108</v>
      </c>
      <c r="C2530" s="4">
        <f t="shared" ref="C2530" si="0">(0.00396421732885982/(0.0900940072589024+0.00396421732885982+0.0572052587068733+0.752028927432513))  * 0.119818625851367%</f>
        <v>5.258397693586253E-6</v>
      </c>
      <c r="D2530" t="s">
        <v>256</v>
      </c>
      <c r="E2530" t="s">
        <v>366</v>
      </c>
      <c r="F2530" t="s">
        <v>442</v>
      </c>
      <c r="G2530" s="4" t="s">
        <v>245</v>
      </c>
    </row>
    <row r="2531" spans="1:7" hidden="1" x14ac:dyDescent="0.2">
      <c r="A2531" t="s">
        <v>68</v>
      </c>
      <c r="B2531" t="s">
        <v>108</v>
      </c>
      <c r="C2531" s="4">
        <f>(0.0572052587068733/(0.0900940072589024+0.00396421732885982+0.0572052587068733+0.752028927432513)) * 0.0214959148808153%</f>
        <v>1.3613303480631231E-5</v>
      </c>
      <c r="D2531" t="s">
        <v>256</v>
      </c>
      <c r="E2531" t="s">
        <v>281</v>
      </c>
      <c r="F2531" t="s">
        <v>442</v>
      </c>
      <c r="G2531" s="4" t="s">
        <v>245</v>
      </c>
    </row>
    <row r="2532" spans="1:7" hidden="1" x14ac:dyDescent="0.2">
      <c r="A2532" t="s">
        <v>68</v>
      </c>
      <c r="B2532" t="s">
        <v>108</v>
      </c>
      <c r="C2532" s="4">
        <f>(0.752028927432513/(0.0900940072589024+0.00396421732885982+0.0572052587068733+0.752028927432513)) * 0.0214959148808153%</f>
        <v>1.7896253328406571E-4</v>
      </c>
      <c r="D2532" t="s">
        <v>256</v>
      </c>
      <c r="E2532" t="s">
        <v>367</v>
      </c>
      <c r="F2532" t="s">
        <v>442</v>
      </c>
      <c r="G2532" s="4" t="s">
        <v>245</v>
      </c>
    </row>
    <row r="2533" spans="1:7" hidden="1" x14ac:dyDescent="0.2">
      <c r="A2533" t="s">
        <v>68</v>
      </c>
      <c r="B2533" t="s">
        <v>205</v>
      </c>
      <c r="C2533" s="4">
        <f>(0.0900940072589024/(0.0900940072589024+0.00396421732885982+0.0572052587068733+0.752028927432513)) * 0.00766191025454803%</f>
        <v>7.6419572432212211E-6</v>
      </c>
      <c r="D2533" t="s">
        <v>242</v>
      </c>
      <c r="E2533" t="s">
        <v>371</v>
      </c>
      <c r="F2533" t="s">
        <v>442</v>
      </c>
      <c r="G2533" s="4" t="s">
        <v>245</v>
      </c>
    </row>
    <row r="2534" spans="1:7" hidden="1" x14ac:dyDescent="0.2">
      <c r="A2534" t="s">
        <v>68</v>
      </c>
      <c r="B2534" t="s">
        <v>205</v>
      </c>
      <c r="C2534" s="4">
        <f>(0.00396421732885982/(0.0900940072589024+0.00396421732885982+0.0572052587068733+0.752028927432513))  * 0.00766191025454803%</f>
        <v>3.3625299008985892E-7</v>
      </c>
      <c r="D2534" t="s">
        <v>256</v>
      </c>
      <c r="E2534" t="s">
        <v>366</v>
      </c>
      <c r="F2534" t="s">
        <v>442</v>
      </c>
      <c r="G2534" s="4" t="s">
        <v>245</v>
      </c>
    </row>
    <row r="2535" spans="1:7" hidden="1" x14ac:dyDescent="0.2">
      <c r="A2535" t="s">
        <v>68</v>
      </c>
      <c r="B2535" t="s">
        <v>205</v>
      </c>
      <c r="C2535" s="4">
        <f>(0.0572052587068733/(0.0900940072589024+0.00396421732885982+0.0572052587068733+0.752028927432513)) * 0.00766191025454803%</f>
        <v>4.8522665871556882E-6</v>
      </c>
      <c r="D2535" t="s">
        <v>256</v>
      </c>
      <c r="E2535" t="s">
        <v>281</v>
      </c>
      <c r="F2535" t="s">
        <v>442</v>
      </c>
      <c r="G2535" s="4" t="s">
        <v>245</v>
      </c>
    </row>
    <row r="2536" spans="1:7" hidden="1" x14ac:dyDescent="0.2">
      <c r="A2536" t="s">
        <v>68</v>
      </c>
      <c r="B2536" t="s">
        <v>205</v>
      </c>
      <c r="C2536" s="4">
        <f>(0.752028927432513/(0.0900940072589024+0.00396421732885982+0.0572052587068733+0.752028927432513)) * 0.00766191025454803%</f>
        <v>6.3788625725013544E-5</v>
      </c>
      <c r="D2536" t="s">
        <v>256</v>
      </c>
      <c r="E2536" t="s">
        <v>367</v>
      </c>
      <c r="F2536" t="s">
        <v>442</v>
      </c>
      <c r="G2536" s="4" t="s">
        <v>245</v>
      </c>
    </row>
    <row r="2537" spans="1:7" hidden="1" x14ac:dyDescent="0.2">
      <c r="A2537" t="s">
        <v>68</v>
      </c>
      <c r="B2537" t="s">
        <v>179</v>
      </c>
      <c r="C2537" s="4">
        <f>(0.0900940072589024/(0.0900940072589024+0.00396421732885982+0.0572052587068733+0.752028927432513)) * 0.0438871870902272%</f>
        <v>4.377289685293379E-5</v>
      </c>
      <c r="D2537" t="s">
        <v>242</v>
      </c>
      <c r="E2537" t="s">
        <v>371</v>
      </c>
      <c r="F2537" t="s">
        <v>442</v>
      </c>
      <c r="G2537" s="4" t="s">
        <v>245</v>
      </c>
    </row>
    <row r="2538" spans="1:7" hidden="1" x14ac:dyDescent="0.2">
      <c r="A2538" t="s">
        <v>68</v>
      </c>
      <c r="B2538" t="s">
        <v>179</v>
      </c>
      <c r="C2538" s="4">
        <f>(0.00396421732885982/(0.0900940072589024+0.00396421732885982+0.0572052587068733+0.752028927432513))  * 0.0438871870902272%</f>
        <v>1.9260468206296507E-6</v>
      </c>
      <c r="D2538" t="s">
        <v>256</v>
      </c>
      <c r="E2538" t="s">
        <v>366</v>
      </c>
      <c r="F2538" t="s">
        <v>442</v>
      </c>
      <c r="G2538" s="4" t="s">
        <v>245</v>
      </c>
    </row>
    <row r="2539" spans="1:7" hidden="1" x14ac:dyDescent="0.2">
      <c r="A2539" t="s">
        <v>68</v>
      </c>
      <c r="B2539" t="s">
        <v>179</v>
      </c>
      <c r="C2539" s="4">
        <f>(0.0572052587068733/(0.0900940072589024+0.00396421732885982+0.0572052587068733+0.752028927432513)) * 0.0438871870902272%</f>
        <v>2.779363428275E-5</v>
      </c>
      <c r="D2539" t="s">
        <v>256</v>
      </c>
      <c r="E2539" t="s">
        <v>281</v>
      </c>
      <c r="F2539" t="s">
        <v>442</v>
      </c>
      <c r="G2539" s="4" t="s">
        <v>245</v>
      </c>
    </row>
    <row r="2540" spans="1:7" hidden="1" x14ac:dyDescent="0.2">
      <c r="A2540" t="s">
        <v>68</v>
      </c>
      <c r="B2540" t="s">
        <v>179</v>
      </c>
      <c r="C2540" s="4">
        <f>(0.752028927432513/(0.0900940072589024+0.00396421732885982+0.0572052587068733+0.752028927432513)) * 0.0438871870902272%</f>
        <v>3.653792929459586E-4</v>
      </c>
      <c r="D2540" t="s">
        <v>256</v>
      </c>
      <c r="E2540" t="s">
        <v>367</v>
      </c>
      <c r="F2540" t="s">
        <v>442</v>
      </c>
      <c r="G2540" s="4" t="s">
        <v>245</v>
      </c>
    </row>
    <row r="2541" spans="1:7" hidden="1" x14ac:dyDescent="0.2">
      <c r="A2541" t="s">
        <v>68</v>
      </c>
      <c r="B2541" t="s">
        <v>135</v>
      </c>
      <c r="C2541" s="4">
        <f>(0.0900940072589024/(0.0900940072589024+0.00396421732885982+0.0572052587068733+0.752028927432513)) * 0.00120873239360542%</f>
        <v>1.2055846340598974E-6</v>
      </c>
      <c r="D2541" t="s">
        <v>242</v>
      </c>
      <c r="E2541" t="s">
        <v>371</v>
      </c>
      <c r="F2541" t="s">
        <v>442</v>
      </c>
      <c r="G2541" s="4" t="s">
        <v>245</v>
      </c>
    </row>
    <row r="2542" spans="1:7" hidden="1" x14ac:dyDescent="0.2">
      <c r="A2542" t="s">
        <v>68</v>
      </c>
      <c r="B2542" t="s">
        <v>135</v>
      </c>
      <c r="C2542" s="4">
        <f>(0.00396421732885982/(0.0900940072589024+0.00396421732885982+0.0572052587068733+0.752028927432513))  * 0.00120873239360542%</f>
        <v>5.3046807919348345E-8</v>
      </c>
      <c r="D2542" t="s">
        <v>256</v>
      </c>
      <c r="E2542" t="s">
        <v>366</v>
      </c>
      <c r="F2542" t="s">
        <v>442</v>
      </c>
      <c r="G2542" s="4" t="s">
        <v>245</v>
      </c>
    </row>
    <row r="2543" spans="1:7" hidden="1" x14ac:dyDescent="0.2">
      <c r="A2543" t="s">
        <v>68</v>
      </c>
      <c r="B2543" t="s">
        <v>135</v>
      </c>
      <c r="C2543" s="4">
        <f>(0.0572052587068733/(0.0900940072589024+0.00396421732885982+0.0572052587068733+0.752028927432513)) * 0.00120873239360542%</f>
        <v>7.6548688400818062E-7</v>
      </c>
      <c r="D2543" t="s">
        <v>256</v>
      </c>
      <c r="E2543" t="s">
        <v>281</v>
      </c>
      <c r="F2543" t="s">
        <v>442</v>
      </c>
      <c r="G2543" s="4" t="s">
        <v>245</v>
      </c>
    </row>
    <row r="2544" spans="1:7" hidden="1" x14ac:dyDescent="0.2">
      <c r="A2544" t="s">
        <v>68</v>
      </c>
      <c r="B2544" t="s">
        <v>135</v>
      </c>
      <c r="C2544" s="4">
        <f>(0.752028927432513/(0.0900940072589024+0.00396421732885982+0.0572052587068733+0.752028927432513)) * 0.00120873239360542%</f>
        <v>1.0063205610066775E-5</v>
      </c>
      <c r="D2544" t="s">
        <v>256</v>
      </c>
      <c r="E2544" t="s">
        <v>367</v>
      </c>
      <c r="F2544" t="s">
        <v>442</v>
      </c>
      <c r="G2544" s="4" t="s">
        <v>245</v>
      </c>
    </row>
    <row r="2545" spans="1:7" hidden="1" x14ac:dyDescent="0.2">
      <c r="A2545" t="s">
        <v>68</v>
      </c>
      <c r="B2545" t="s">
        <v>137</v>
      </c>
      <c r="C2545" s="4">
        <f>(0.0900940072589024/(0.0900940072589024+0.00396421732885982+0.0572052587068733+0.752028927432513)) * 0.176261364726538%</f>
        <v>1.7580234799441431E-4</v>
      </c>
      <c r="D2545" t="s">
        <v>242</v>
      </c>
      <c r="E2545" t="s">
        <v>371</v>
      </c>
      <c r="F2545" t="s">
        <v>442</v>
      </c>
      <c r="G2545" s="4" t="s">
        <v>245</v>
      </c>
    </row>
    <row r="2546" spans="1:7" hidden="1" x14ac:dyDescent="0.2">
      <c r="A2546" t="s">
        <v>68</v>
      </c>
      <c r="B2546" t="s">
        <v>137</v>
      </c>
      <c r="C2546" s="4">
        <f>(0.00396421732885982/(0.0900940072589024+0.00396421732885982+0.0572052587068733+0.752028927432513))  * 0.176261364726538%</f>
        <v>7.7354613872482362E-6</v>
      </c>
      <c r="D2546" t="s">
        <v>256</v>
      </c>
      <c r="E2546" t="s">
        <v>366</v>
      </c>
      <c r="F2546" t="s">
        <v>442</v>
      </c>
      <c r="G2546" s="4" t="s">
        <v>245</v>
      </c>
    </row>
    <row r="2547" spans="1:7" hidden="1" x14ac:dyDescent="0.2">
      <c r="A2547" t="s">
        <v>68</v>
      </c>
      <c r="B2547" t="s">
        <v>137</v>
      </c>
      <c r="C2547" s="4">
        <f>(0.0572052587068733/(0.0900940072589024+0.00396421732885982+0.0572052587068733+0.752028927432513)) * 0.176261364726538%</f>
        <v>1.1162583510572508E-4</v>
      </c>
      <c r="D2547" t="s">
        <v>256</v>
      </c>
      <c r="E2547" t="s">
        <v>281</v>
      </c>
      <c r="F2547" t="s">
        <v>442</v>
      </c>
      <c r="G2547" s="4" t="s">
        <v>245</v>
      </c>
    </row>
    <row r="2548" spans="1:7" hidden="1" x14ac:dyDescent="0.2">
      <c r="A2548" t="s">
        <v>68</v>
      </c>
      <c r="B2548" t="s">
        <v>137</v>
      </c>
      <c r="C2548" s="4">
        <f>(0.752028927432513/(0.0900940072589024+0.00396421732885982+0.0572052587068733+0.752028927432513)) * 0.176261364726538%</f>
        <v>1.4674500027779926E-3</v>
      </c>
      <c r="D2548" t="s">
        <v>256</v>
      </c>
      <c r="E2548" t="s">
        <v>367</v>
      </c>
      <c r="F2548" t="s">
        <v>442</v>
      </c>
      <c r="G2548" s="4" t="s">
        <v>245</v>
      </c>
    </row>
    <row r="2549" spans="1:7" hidden="1" x14ac:dyDescent="0.2">
      <c r="A2549" t="s">
        <v>68</v>
      </c>
      <c r="B2549" t="s">
        <v>121</v>
      </c>
      <c r="C2549" s="4">
        <f>(0.0900940072589024/(0.0900940072589024+0.00396421732885982+0.0572052587068733+0.752028927432513)) * 0.321330535043229%</f>
        <v>3.2049373174061112E-4</v>
      </c>
      <c r="D2549" t="s">
        <v>242</v>
      </c>
      <c r="E2549" t="s">
        <v>371</v>
      </c>
      <c r="F2549" t="s">
        <v>442</v>
      </c>
      <c r="G2549" s="4" t="s">
        <v>245</v>
      </c>
    </row>
    <row r="2550" spans="1:7" hidden="1" x14ac:dyDescent="0.2">
      <c r="A2550" t="s">
        <v>68</v>
      </c>
      <c r="B2550" t="s">
        <v>121</v>
      </c>
      <c r="C2550" s="4">
        <f>(0.00396421732885982/(0.0900940072589024+0.00396421732885982+0.0572052587068733+0.752028927432513))  * 0.321330535043229%</f>
        <v>1.4102012373653627E-5</v>
      </c>
      <c r="D2550" t="s">
        <v>256</v>
      </c>
      <c r="E2550" t="s">
        <v>366</v>
      </c>
      <c r="F2550" t="s">
        <v>442</v>
      </c>
      <c r="G2550" s="4" t="s">
        <v>245</v>
      </c>
    </row>
    <row r="2551" spans="1:7" hidden="1" x14ac:dyDescent="0.2">
      <c r="A2551" t="s">
        <v>68</v>
      </c>
      <c r="B2551" t="s">
        <v>121</v>
      </c>
      <c r="C2551" s="4">
        <f>(0.0572052587068733/(0.0900940072589024+0.00396421732885982+0.0572052587068733+0.752028927432513)) * 0.321330535043229%</f>
        <v>2.0349773970500452E-4</v>
      </c>
      <c r="D2551" t="s">
        <v>256</v>
      </c>
      <c r="E2551" t="s">
        <v>281</v>
      </c>
      <c r="F2551" t="s">
        <v>442</v>
      </c>
      <c r="G2551" s="4" t="s">
        <v>245</v>
      </c>
    </row>
    <row r="2552" spans="1:7" hidden="1" x14ac:dyDescent="0.2">
      <c r="A2552" t="s">
        <v>68</v>
      </c>
      <c r="B2552" t="s">
        <v>121</v>
      </c>
      <c r="C2552" s="4">
        <f>(0.752028927432513/(0.0900940072589024+0.00396421732885982+0.0572052587068733+0.752028927432513)) * 0.321330535043229%</f>
        <v>2.6752118666130207E-3</v>
      </c>
      <c r="D2552" t="s">
        <v>256</v>
      </c>
      <c r="E2552" t="s">
        <v>367</v>
      </c>
      <c r="F2552" t="s">
        <v>442</v>
      </c>
      <c r="G2552" s="4" t="s">
        <v>245</v>
      </c>
    </row>
    <row r="2553" spans="1:7" hidden="1" x14ac:dyDescent="0.2">
      <c r="A2553" t="s">
        <v>68</v>
      </c>
      <c r="B2553" t="s">
        <v>157</v>
      </c>
      <c r="C2553" s="4">
        <f>(0.0900940072589024/(0.0900940072589024+0.00396421732885982+0.0572052587068733+0.752028927432513)) * 0.00587119559735481%</f>
        <v>5.8559059335028483E-6</v>
      </c>
      <c r="D2553" t="s">
        <v>242</v>
      </c>
      <c r="E2553" t="s">
        <v>371</v>
      </c>
      <c r="F2553" t="s">
        <v>442</v>
      </c>
      <c r="G2553" s="4" t="s">
        <v>245</v>
      </c>
    </row>
    <row r="2554" spans="1:7" hidden="1" x14ac:dyDescent="0.2">
      <c r="A2554" t="s">
        <v>68</v>
      </c>
      <c r="B2554" t="s">
        <v>157</v>
      </c>
      <c r="C2554" s="4">
        <f>(0.00396421732885982/(0.0900940072589024+0.00396421732885982+0.0572052587068733+0.752028927432513))  * 0.00587119559735481%</f>
        <v>2.5766512650563886E-7</v>
      </c>
      <c r="D2554" t="s">
        <v>256</v>
      </c>
      <c r="E2554" t="s">
        <v>366</v>
      </c>
      <c r="F2554" t="s">
        <v>442</v>
      </c>
      <c r="G2554" s="4" t="s">
        <v>245</v>
      </c>
    </row>
    <row r="2555" spans="1:7" hidden="1" x14ac:dyDescent="0.2">
      <c r="A2555" t="s">
        <v>68</v>
      </c>
      <c r="B2555" t="s">
        <v>157</v>
      </c>
      <c r="C2555" s="4">
        <f>(0.0572052587068733/(0.0900940072589024+0.00396421732885982+0.0572052587068733+0.752028927432513)) * 0.00587119559735481%</f>
        <v>3.7182119441806022E-6</v>
      </c>
      <c r="D2555" t="s">
        <v>256</v>
      </c>
      <c r="E2555" t="s">
        <v>281</v>
      </c>
      <c r="F2555" t="s">
        <v>442</v>
      </c>
      <c r="G2555" s="4" t="s">
        <v>245</v>
      </c>
    </row>
    <row r="2556" spans="1:7" hidden="1" x14ac:dyDescent="0.2">
      <c r="A2556" t="s">
        <v>68</v>
      </c>
      <c r="B2556" t="s">
        <v>157</v>
      </c>
      <c r="C2556" s="4">
        <f>(0.752028927432513/(0.0900940072589024+0.00396421732885982+0.0572052587068733+0.752028927432513)) * 0.00587119559735481%</f>
        <v>4.888017296935901E-5</v>
      </c>
      <c r="D2556" t="s">
        <v>256</v>
      </c>
      <c r="E2556" t="s">
        <v>367</v>
      </c>
      <c r="F2556" t="s">
        <v>442</v>
      </c>
      <c r="G2556" s="4" t="s">
        <v>245</v>
      </c>
    </row>
    <row r="2557" spans="1:7" hidden="1" x14ac:dyDescent="0.2">
      <c r="A2557" t="s">
        <v>68</v>
      </c>
      <c r="B2557" t="s">
        <v>138</v>
      </c>
      <c r="C2557" s="4">
        <v>1.5856440695699098E-2</v>
      </c>
      <c r="D2557" t="s">
        <v>314</v>
      </c>
      <c r="E2557" t="s">
        <v>338</v>
      </c>
      <c r="F2557" t="s">
        <v>442</v>
      </c>
      <c r="G2557" s="4" t="s">
        <v>245</v>
      </c>
    </row>
    <row r="2558" spans="1:7" hidden="1" x14ac:dyDescent="0.2">
      <c r="A2558" t="s">
        <v>68</v>
      </c>
      <c r="B2558" t="s">
        <v>139</v>
      </c>
      <c r="C2558" s="4">
        <f>(0.0900940072589024/(0.0900940072589024+0.00396421732885982+0.0572052587068733+0.752028927432513)) * 0.0302366573263773%</f>
        <v>3.0157915557539701E-5</v>
      </c>
      <c r="D2558" t="s">
        <v>242</v>
      </c>
      <c r="E2558" t="s">
        <v>371</v>
      </c>
      <c r="F2558" t="s">
        <v>442</v>
      </c>
      <c r="G2558" s="4" t="s">
        <v>245</v>
      </c>
    </row>
    <row r="2559" spans="1:7" hidden="1" x14ac:dyDescent="0.2">
      <c r="A2559" t="s">
        <v>68</v>
      </c>
      <c r="B2559" t="s">
        <v>139</v>
      </c>
      <c r="C2559" s="4">
        <f>(0.00396421732885982/(0.0900940072589024+0.00396421732885982+0.0572052587068733+0.752028927432513))  * 0.0302366573263773%</f>
        <v>1.3269754015040418E-6</v>
      </c>
      <c r="D2559" t="s">
        <v>256</v>
      </c>
      <c r="E2559" t="s">
        <v>366</v>
      </c>
      <c r="F2559" t="s">
        <v>442</v>
      </c>
      <c r="G2559" s="4" t="s">
        <v>245</v>
      </c>
    </row>
    <row r="2560" spans="1:7" hidden="1" x14ac:dyDescent="0.2">
      <c r="A2560" t="s">
        <v>68</v>
      </c>
      <c r="B2560" t="s">
        <v>139</v>
      </c>
      <c r="C2560" s="4">
        <f>(0.0572052587068733/(0.0900940072589024+0.00396421732885982+0.0572052587068733+0.752028927432513)) * 0.0302366573263773%</f>
        <v>1.914879151253012E-5</v>
      </c>
      <c r="D2560" t="s">
        <v>256</v>
      </c>
      <c r="E2560" t="s">
        <v>281</v>
      </c>
      <c r="F2560" t="s">
        <v>442</v>
      </c>
      <c r="G2560" s="4" t="s">
        <v>245</v>
      </c>
    </row>
    <row r="2561" spans="1:7" hidden="1" x14ac:dyDescent="0.2">
      <c r="A2561" t="s">
        <v>68</v>
      </c>
      <c r="B2561" t="s">
        <v>139</v>
      </c>
      <c r="C2561" s="4">
        <f>(0.752028927432513/(0.0900940072589024+0.00396421732885982+0.0572052587068733+0.752028927432513)) * 0.0302366573263773%</f>
        <v>2.5173289079219918E-4</v>
      </c>
      <c r="D2561" t="s">
        <v>256</v>
      </c>
      <c r="E2561" t="s">
        <v>367</v>
      </c>
      <c r="F2561" t="s">
        <v>442</v>
      </c>
      <c r="G2561" s="4" t="s">
        <v>245</v>
      </c>
    </row>
    <row r="2562" spans="1:7" hidden="1" x14ac:dyDescent="0.2">
      <c r="A2562" t="s">
        <v>68</v>
      </c>
      <c r="B2562" t="s">
        <v>111</v>
      </c>
      <c r="C2562" s="4">
        <f>(0.0900940072589024/(0.0900940072589024+0.00396421732885982+0.0572052587068733+0.752028927432513)) * 0.0426175410422993%</f>
        <v>4.2506557194813871E-5</v>
      </c>
      <c r="D2562" t="s">
        <v>242</v>
      </c>
      <c r="E2562" t="s">
        <v>371</v>
      </c>
      <c r="F2562" t="s">
        <v>442</v>
      </c>
      <c r="G2562" s="4" t="s">
        <v>245</v>
      </c>
    </row>
    <row r="2563" spans="1:7" hidden="1" x14ac:dyDescent="0.2">
      <c r="A2563" t="s">
        <v>68</v>
      </c>
      <c r="B2563" t="s">
        <v>111</v>
      </c>
      <c r="C2563" s="4">
        <f>(0.00396421732885982/(0.0900940072589024+0.00396421732885982+0.0572052587068733+0.752028927432513))  * 0.0426175410422993%</f>
        <v>1.8703267370228096E-6</v>
      </c>
      <c r="D2563" t="s">
        <v>256</v>
      </c>
      <c r="E2563" t="s">
        <v>366</v>
      </c>
      <c r="F2563" t="s">
        <v>442</v>
      </c>
      <c r="G2563" s="4" t="s">
        <v>245</v>
      </c>
    </row>
    <row r="2564" spans="1:7" hidden="1" x14ac:dyDescent="0.2">
      <c r="A2564" t="s">
        <v>68</v>
      </c>
      <c r="B2564" t="s">
        <v>111</v>
      </c>
      <c r="C2564" s="4">
        <f>(0.0572052587068733/(0.0900940072589024+0.00396421732885982+0.0572052587068733+0.752028927432513)) * 0.0426175410422993%</f>
        <v>2.6989570949820993E-5</v>
      </c>
      <c r="D2564" t="s">
        <v>256</v>
      </c>
      <c r="E2564" t="s">
        <v>281</v>
      </c>
      <c r="F2564" t="s">
        <v>442</v>
      </c>
      <c r="G2564" s="4" t="s">
        <v>245</v>
      </c>
    </row>
    <row r="2565" spans="1:7" hidden="1" x14ac:dyDescent="0.2">
      <c r="A2565" t="s">
        <v>68</v>
      </c>
      <c r="B2565" t="s">
        <v>111</v>
      </c>
      <c r="C2565" s="4">
        <f>(0.752028927432513/(0.0900940072589024+0.00396421732885982+0.0572052587068733+0.752028927432513)) * 0.0426175410422993%</f>
        <v>3.5480895554133537E-4</v>
      </c>
      <c r="D2565" t="s">
        <v>256</v>
      </c>
      <c r="E2565" t="s">
        <v>367</v>
      </c>
      <c r="F2565" t="s">
        <v>442</v>
      </c>
      <c r="G2565" s="4" t="s">
        <v>245</v>
      </c>
    </row>
    <row r="2566" spans="1:7" hidden="1" x14ac:dyDescent="0.2">
      <c r="A2566" t="s">
        <v>68</v>
      </c>
      <c r="B2566" t="s">
        <v>112</v>
      </c>
      <c r="C2566" s="4">
        <f>(0.0900940072589024/(0.0900940072589024+0.00396421732885982+0.0572052587068733+0.752028927432513)) * 0.62509885625587%</f>
        <v>6.2347098485763142E-4</v>
      </c>
      <c r="D2566" t="s">
        <v>242</v>
      </c>
      <c r="E2566" t="s">
        <v>371</v>
      </c>
      <c r="F2566" t="s">
        <v>442</v>
      </c>
      <c r="G2566" s="4" t="s">
        <v>245</v>
      </c>
    </row>
    <row r="2567" spans="1:7" hidden="1" x14ac:dyDescent="0.2">
      <c r="A2567" t="s">
        <v>68</v>
      </c>
      <c r="B2567" t="s">
        <v>112</v>
      </c>
      <c r="C2567" s="4">
        <f>(0.00396421732885982/(0.0900940072589024+0.00396421732885982+0.0572052587068733+0.752028927432513))  * 0.62509885625587%</f>
        <v>2.7433283937647245E-5</v>
      </c>
      <c r="D2567" t="s">
        <v>256</v>
      </c>
      <c r="E2567" t="s">
        <v>366</v>
      </c>
      <c r="F2567" t="s">
        <v>442</v>
      </c>
      <c r="G2567" s="4" t="s">
        <v>245</v>
      </c>
    </row>
    <row r="2568" spans="1:7" hidden="1" x14ac:dyDescent="0.2">
      <c r="A2568" t="s">
        <v>68</v>
      </c>
      <c r="B2568" t="s">
        <v>112</v>
      </c>
      <c r="C2568" s="4">
        <f>(0.0572052587068733/(0.0900940072589024+0.00396421732885982+0.0572052587068733+0.752028927432513)) * 0.62509885625587%</f>
        <v>3.9587337793197855E-4</v>
      </c>
      <c r="D2568" t="s">
        <v>256</v>
      </c>
      <c r="E2568" t="s">
        <v>281</v>
      </c>
      <c r="F2568" t="s">
        <v>442</v>
      </c>
      <c r="G2568" s="4" t="s">
        <v>245</v>
      </c>
    </row>
    <row r="2569" spans="1:7" hidden="1" x14ac:dyDescent="0.2">
      <c r="A2569" t="s">
        <v>68</v>
      </c>
      <c r="B2569" t="s">
        <v>112</v>
      </c>
      <c r="C2569" s="4">
        <f>(0.752028927432513/(0.0900940072589024+0.00396421732885982+0.0572052587068733+0.752028927432513)) * 0.62509885625587%</f>
        <v>5.2042109158314427E-3</v>
      </c>
      <c r="D2569" t="s">
        <v>256</v>
      </c>
      <c r="E2569" t="s">
        <v>367</v>
      </c>
      <c r="F2569" t="s">
        <v>442</v>
      </c>
      <c r="G2569" s="4" t="s">
        <v>245</v>
      </c>
    </row>
    <row r="2570" spans="1:7" hidden="1" x14ac:dyDescent="0.2">
      <c r="A2570" t="s">
        <v>68</v>
      </c>
      <c r="B2570" t="s">
        <v>113</v>
      </c>
      <c r="C2570" s="4">
        <f>(0.0900940072589024/(0.0900940072589024+0.00396421732885982+0.0572052587068733+0.752028927432513)) * 3.65114976210503%</f>
        <v>3.6416415023970911E-3</v>
      </c>
      <c r="D2570" t="s">
        <v>242</v>
      </c>
      <c r="E2570" t="s">
        <v>371</v>
      </c>
      <c r="F2570" t="s">
        <v>442</v>
      </c>
      <c r="G2570" s="4" t="s">
        <v>245</v>
      </c>
    </row>
    <row r="2571" spans="1:7" hidden="1" x14ac:dyDescent="0.2">
      <c r="A2571" t="s">
        <v>68</v>
      </c>
      <c r="B2571" t="s">
        <v>113</v>
      </c>
      <c r="C2571" s="4">
        <f>(0.00396421732885982/(0.0900940072589024+0.00396421732885982+0.0572052587068733+0.752028927432513))  * 3.65114976210503%</f>
        <v>1.6023550054569452E-4</v>
      </c>
      <c r="D2571" t="s">
        <v>256</v>
      </c>
      <c r="E2571" t="s">
        <v>366</v>
      </c>
      <c r="F2571" t="s">
        <v>442</v>
      </c>
      <c r="G2571" s="4" t="s">
        <v>245</v>
      </c>
    </row>
    <row r="2572" spans="1:7" hidden="1" x14ac:dyDescent="0.2">
      <c r="A2572" t="s">
        <v>68</v>
      </c>
      <c r="B2572" t="s">
        <v>113</v>
      </c>
      <c r="C2572" s="4">
        <f>(0.0572052587068733/(0.0900940072589024+0.00396421732885982+0.0572052587068733+0.752028927432513)) * 3.65114976210503%</f>
        <v>2.3122630527873168E-3</v>
      </c>
      <c r="D2572" t="s">
        <v>256</v>
      </c>
      <c r="E2572" t="s">
        <v>281</v>
      </c>
      <c r="F2572" t="s">
        <v>442</v>
      </c>
      <c r="G2572" s="4" t="s">
        <v>245</v>
      </c>
    </row>
    <row r="2573" spans="1:7" hidden="1" x14ac:dyDescent="0.2">
      <c r="A2573" t="s">
        <v>68</v>
      </c>
      <c r="B2573" t="s">
        <v>113</v>
      </c>
      <c r="C2573" s="4">
        <f>(0.752028927432513/(0.0900940072589024+0.00396421732885982+0.0572052587068733+0.752028927432513)) * 3.65114976210503%</f>
        <v>3.0397357565320197E-2</v>
      </c>
      <c r="D2573" t="s">
        <v>256</v>
      </c>
      <c r="E2573" t="s">
        <v>367</v>
      </c>
      <c r="F2573" t="s">
        <v>442</v>
      </c>
      <c r="G2573" s="4" t="s">
        <v>245</v>
      </c>
    </row>
    <row r="2574" spans="1:7" hidden="1" x14ac:dyDescent="0.2">
      <c r="A2574" t="s">
        <v>68</v>
      </c>
      <c r="B2574" t="s">
        <v>140</v>
      </c>
      <c r="C2574" s="4">
        <f>(0.0900940072589024/(0.0900940072589024+0.00396421732885982+0.0572052587068733+0.752028927432513)) * 0.000462356653291692%</f>
        <v>4.6115259226335001E-7</v>
      </c>
      <c r="D2574" t="s">
        <v>242</v>
      </c>
      <c r="E2574" t="s">
        <v>371</v>
      </c>
      <c r="F2574" t="s">
        <v>442</v>
      </c>
      <c r="G2574" s="4" t="s">
        <v>245</v>
      </c>
    </row>
    <row r="2575" spans="1:7" hidden="1" x14ac:dyDescent="0.2">
      <c r="A2575" t="s">
        <v>68</v>
      </c>
      <c r="B2575" t="s">
        <v>140</v>
      </c>
      <c r="C2575" s="4">
        <f>(0.00396421732885982/(0.0900940072589024+0.00396421732885982+0.0572052587068733+0.752028927432513))  * 0.000462356653291692%</f>
        <v>2.0291128712319094E-8</v>
      </c>
      <c r="D2575" t="s">
        <v>256</v>
      </c>
      <c r="E2575" t="s">
        <v>366</v>
      </c>
      <c r="F2575" t="s">
        <v>442</v>
      </c>
      <c r="G2575" s="4" t="s">
        <v>245</v>
      </c>
    </row>
    <row r="2576" spans="1:7" hidden="1" x14ac:dyDescent="0.2">
      <c r="A2576" t="s">
        <v>68</v>
      </c>
      <c r="B2576" t="s">
        <v>140</v>
      </c>
      <c r="C2576" s="4">
        <f>(0.0572052587068733/(0.0900940072589024+0.00396421732885982+0.0572052587068733+0.752028927432513)) * 0.000462356653291692%</f>
        <v>2.9280919060422287E-7</v>
      </c>
      <c r="D2576" t="s">
        <v>256</v>
      </c>
      <c r="E2576" t="s">
        <v>281</v>
      </c>
      <c r="F2576" t="s">
        <v>442</v>
      </c>
      <c r="G2576" s="4" t="s">
        <v>245</v>
      </c>
    </row>
    <row r="2577" spans="1:7" hidden="1" x14ac:dyDescent="0.2">
      <c r="A2577" t="s">
        <v>68</v>
      </c>
      <c r="B2577" t="s">
        <v>140</v>
      </c>
      <c r="C2577" s="4">
        <f>(0.752028927432513/(0.0900940072589024+0.00396421732885982+0.0572052587068733+0.752028927432513)) * 0.000462356653291692%</f>
        <v>3.8493136213370284E-6</v>
      </c>
      <c r="D2577" t="s">
        <v>256</v>
      </c>
      <c r="E2577" t="s">
        <v>367</v>
      </c>
      <c r="F2577" t="s">
        <v>442</v>
      </c>
      <c r="G2577" s="4" t="s">
        <v>245</v>
      </c>
    </row>
    <row r="2578" spans="1:7" hidden="1" x14ac:dyDescent="0.2">
      <c r="A2578" t="s">
        <v>68</v>
      </c>
      <c r="B2578" t="s">
        <v>180</v>
      </c>
      <c r="C2578" s="4">
        <f>(0.0900940072589024/(0.0900940072589024+0.00396421732885982+0.0572052587068733+0.752028927432513)) * 0.707625849371189%</f>
        <v>7.0578306263543132E-4</v>
      </c>
      <c r="D2578" t="s">
        <v>242</v>
      </c>
      <c r="E2578" t="s">
        <v>371</v>
      </c>
      <c r="F2578" t="s">
        <v>442</v>
      </c>
      <c r="G2578" s="4" t="s">
        <v>245</v>
      </c>
    </row>
    <row r="2579" spans="1:7" hidden="1" x14ac:dyDescent="0.2">
      <c r="A2579" t="s">
        <v>68</v>
      </c>
      <c r="B2579" t="s">
        <v>180</v>
      </c>
      <c r="C2579" s="4">
        <f>(0.00396421732885982/(0.0900940072589024+0.00396421732885982+0.0572052587068733+0.752028927432513))  * 0.707625849371189%</f>
        <v>3.1055089372092151E-5</v>
      </c>
      <c r="D2579" t="s">
        <v>256</v>
      </c>
      <c r="E2579" t="s">
        <v>366</v>
      </c>
      <c r="F2579" t="s">
        <v>442</v>
      </c>
      <c r="G2579" s="4" t="s">
        <v>245</v>
      </c>
    </row>
    <row r="2580" spans="1:7" hidden="1" x14ac:dyDescent="0.2">
      <c r="A2580" t="s">
        <v>68</v>
      </c>
      <c r="B2580" t="s">
        <v>180</v>
      </c>
      <c r="C2580" s="4">
        <f>(0.0572052587068733/(0.0900940072589024+0.00396421732885982+0.0572052587068733+0.752028927432513)) * 0.707625849371189%</f>
        <v>4.4813749457236742E-4</v>
      </c>
      <c r="D2580" t="s">
        <v>256</v>
      </c>
      <c r="E2580" t="s">
        <v>281</v>
      </c>
      <c r="F2580" t="s">
        <v>442</v>
      </c>
      <c r="G2580" s="4" t="s">
        <v>245</v>
      </c>
    </row>
    <row r="2581" spans="1:7" hidden="1" x14ac:dyDescent="0.2">
      <c r="A2581" t="s">
        <v>68</v>
      </c>
      <c r="B2581" t="s">
        <v>180</v>
      </c>
      <c r="C2581" s="4">
        <f>(0.752028927432513/(0.0900940072589024+0.00396421732885982+0.0572052587068733+0.752028927432513)) * 0.707625849371189%</f>
        <v>5.8912828471319994E-3</v>
      </c>
      <c r="D2581" t="s">
        <v>256</v>
      </c>
      <c r="E2581" t="s">
        <v>367</v>
      </c>
      <c r="F2581" t="s">
        <v>442</v>
      </c>
      <c r="G2581" s="4" t="s">
        <v>245</v>
      </c>
    </row>
    <row r="2582" spans="1:7" hidden="1" x14ac:dyDescent="0.2">
      <c r="A2582" t="s">
        <v>68</v>
      </c>
      <c r="B2582" t="s">
        <v>143</v>
      </c>
      <c r="C2582" s="4">
        <f>(0.0900940072589024/(0.0900940072589024+0.00396421732885982+0.0572052587068733+0.752028927432513)) * 0.018571325573883%</f>
        <v>1.8522962455911264E-5</v>
      </c>
      <c r="D2582" t="s">
        <v>242</v>
      </c>
      <c r="E2582" t="s">
        <v>371</v>
      </c>
      <c r="F2582" t="s">
        <v>442</v>
      </c>
      <c r="G2582" s="4" t="s">
        <v>245</v>
      </c>
    </row>
    <row r="2583" spans="1:7" hidden="1" x14ac:dyDescent="0.2">
      <c r="A2583" t="s">
        <v>68</v>
      </c>
      <c r="B2583" t="s">
        <v>143</v>
      </c>
      <c r="C2583" s="4">
        <f>(0.00396421732885982/(0.0900940072589024+0.00396421732885982+0.0572052587068733+0.752028927432513))  * 0.018571325573883%</f>
        <v>8.150270032781519E-7</v>
      </c>
      <c r="D2583" t="s">
        <v>256</v>
      </c>
      <c r="E2583" t="s">
        <v>366</v>
      </c>
      <c r="F2583" t="s">
        <v>442</v>
      </c>
      <c r="G2583" s="4" t="s">
        <v>245</v>
      </c>
    </row>
    <row r="2584" spans="1:7" hidden="1" x14ac:dyDescent="0.2">
      <c r="A2584" t="s">
        <v>68</v>
      </c>
      <c r="B2584" t="s">
        <v>143</v>
      </c>
      <c r="C2584" s="4">
        <f>(0.0572052587068733/(0.0900940072589024+0.00396421732885982+0.0572052587068733+0.752028927432513)) * 0.018571325573883%</f>
        <v>1.176116915593631E-5</v>
      </c>
      <c r="D2584" t="s">
        <v>256</v>
      </c>
      <c r="E2584" t="s">
        <v>281</v>
      </c>
      <c r="F2584" t="s">
        <v>442</v>
      </c>
      <c r="G2584" s="4" t="s">
        <v>245</v>
      </c>
    </row>
    <row r="2585" spans="1:7" hidden="1" x14ac:dyDescent="0.2">
      <c r="A2585" t="s">
        <v>68</v>
      </c>
      <c r="B2585" t="s">
        <v>143</v>
      </c>
      <c r="C2585" s="4">
        <f>(0.752028927432513/(0.0900940072589024+0.00396421732885982+0.0572052587068733+0.752028927432513)) * 0.018571325573883%</f>
        <v>1.5461409712370428E-4</v>
      </c>
      <c r="D2585" t="s">
        <v>256</v>
      </c>
      <c r="E2585" t="s">
        <v>367</v>
      </c>
      <c r="F2585" t="s">
        <v>442</v>
      </c>
      <c r="G2585" s="4" t="s">
        <v>245</v>
      </c>
    </row>
    <row r="2586" spans="1:7" hidden="1" x14ac:dyDescent="0.2">
      <c r="A2586" t="s">
        <v>68</v>
      </c>
      <c r="B2586" t="s">
        <v>158</v>
      </c>
      <c r="C2586" s="4">
        <f>(0.0900940072589024/(0.0900940072589024+0.00396421732885982+0.0572052587068733+0.752028927432513)) * 0.00552039166041287%</f>
        <v>5.5060155539760626E-6</v>
      </c>
      <c r="D2586" t="s">
        <v>242</v>
      </c>
      <c r="E2586" t="s">
        <v>371</v>
      </c>
      <c r="F2586" t="s">
        <v>442</v>
      </c>
      <c r="G2586" s="4" t="s">
        <v>245</v>
      </c>
    </row>
    <row r="2587" spans="1:7" hidden="1" x14ac:dyDescent="0.2">
      <c r="A2587" t="s">
        <v>68</v>
      </c>
      <c r="B2587" t="s">
        <v>158</v>
      </c>
      <c r="C2587" s="4">
        <f>(0.00396421732885982/(0.0900940072589024+0.00396421732885982+0.0572052587068733+0.752028927432513))  * 0.00552039166041287%</f>
        <v>2.4226963519692739E-7</v>
      </c>
      <c r="D2587" t="s">
        <v>256</v>
      </c>
      <c r="E2587" t="s">
        <v>366</v>
      </c>
      <c r="F2587" t="s">
        <v>442</v>
      </c>
      <c r="G2587" s="4" t="s">
        <v>245</v>
      </c>
    </row>
    <row r="2588" spans="1:7" hidden="1" x14ac:dyDescent="0.2">
      <c r="A2588" t="s">
        <v>68</v>
      </c>
      <c r="B2588" t="s">
        <v>158</v>
      </c>
      <c r="C2588" s="4">
        <f>(0.0572052587068733/(0.0900940072589024+0.00396421732885982+0.0572052587068733+0.752028927432513)) * 0.00552039166041287%</f>
        <v>3.4960487805158172E-6</v>
      </c>
      <c r="D2588" t="s">
        <v>256</v>
      </c>
      <c r="E2588" t="s">
        <v>281</v>
      </c>
      <c r="F2588" t="s">
        <v>442</v>
      </c>
      <c r="G2588" s="4" t="s">
        <v>245</v>
      </c>
    </row>
    <row r="2589" spans="1:7" hidden="1" x14ac:dyDescent="0.2">
      <c r="A2589" t="s">
        <v>68</v>
      </c>
      <c r="B2589" t="s">
        <v>158</v>
      </c>
      <c r="C2589" s="4">
        <f>(0.752028927432513/(0.0900940072589024+0.00396421732885982+0.0572052587068733+0.752028927432513)) * 0.00552039166041287%</f>
        <v>4.5959582634439892E-5</v>
      </c>
      <c r="D2589" t="s">
        <v>256</v>
      </c>
      <c r="E2589" t="s">
        <v>367</v>
      </c>
      <c r="F2589" t="s">
        <v>442</v>
      </c>
      <c r="G2589" s="4" t="s">
        <v>245</v>
      </c>
    </row>
    <row r="2590" spans="1:7" hidden="1" x14ac:dyDescent="0.2">
      <c r="A2590" t="s">
        <v>69</v>
      </c>
      <c r="B2590" t="s">
        <v>124</v>
      </c>
      <c r="C2590" s="4">
        <v>3.9611241060809347E-3</v>
      </c>
      <c r="D2590" t="s">
        <v>256</v>
      </c>
      <c r="E2590" t="s">
        <v>421</v>
      </c>
      <c r="F2590" t="s">
        <v>422</v>
      </c>
      <c r="G2590" t="s">
        <v>245</v>
      </c>
    </row>
    <row r="2591" spans="1:7" hidden="1" x14ac:dyDescent="0.2">
      <c r="A2591" t="s">
        <v>69</v>
      </c>
      <c r="B2591" t="s">
        <v>86</v>
      </c>
      <c r="C2591" s="4">
        <v>0.1593082861637935</v>
      </c>
      <c r="D2591" t="s">
        <v>254</v>
      </c>
      <c r="E2591" t="s">
        <v>421</v>
      </c>
      <c r="F2591" t="s">
        <v>422</v>
      </c>
      <c r="G2591" t="s">
        <v>245</v>
      </c>
    </row>
    <row r="2592" spans="1:7" hidden="1" x14ac:dyDescent="0.2">
      <c r="A2592" t="s">
        <v>69</v>
      </c>
      <c r="B2592" t="s">
        <v>99</v>
      </c>
      <c r="C2592" s="4">
        <v>0.3639303085918813</v>
      </c>
      <c r="D2592" t="s">
        <v>256</v>
      </c>
      <c r="E2592" t="s">
        <v>421</v>
      </c>
      <c r="F2592" t="s">
        <v>422</v>
      </c>
      <c r="G2592" t="s">
        <v>245</v>
      </c>
    </row>
    <row r="2593" spans="1:8" hidden="1" x14ac:dyDescent="0.2">
      <c r="A2593" t="s">
        <v>69</v>
      </c>
      <c r="B2593" t="s">
        <v>150</v>
      </c>
      <c r="C2593" s="4">
        <v>8.8900828687476452E-2</v>
      </c>
      <c r="D2593" t="s">
        <v>256</v>
      </c>
      <c r="E2593" t="s">
        <v>421</v>
      </c>
      <c r="F2593" t="s">
        <v>422</v>
      </c>
      <c r="G2593" t="s">
        <v>245</v>
      </c>
    </row>
    <row r="2594" spans="1:8" hidden="1" x14ac:dyDescent="0.2">
      <c r="A2594" t="s">
        <v>69</v>
      </c>
      <c r="B2594" t="s">
        <v>121</v>
      </c>
      <c r="C2594" s="4">
        <v>0.38389945245076779</v>
      </c>
      <c r="D2594" t="s">
        <v>423</v>
      </c>
      <c r="E2594" t="s">
        <v>421</v>
      </c>
      <c r="F2594" t="s">
        <v>422</v>
      </c>
      <c r="G2594" t="s">
        <v>245</v>
      </c>
    </row>
    <row r="2595" spans="1:8" hidden="1" x14ac:dyDescent="0.2">
      <c r="A2595" t="s">
        <v>459</v>
      </c>
      <c r="B2595" t="s">
        <v>85</v>
      </c>
      <c r="C2595" s="4">
        <v>0.92368725388297634</v>
      </c>
      <c r="D2595" t="s">
        <v>456</v>
      </c>
      <c r="E2595" t="s">
        <v>458</v>
      </c>
      <c r="F2595" t="s">
        <v>457</v>
      </c>
      <c r="G2595" t="s">
        <v>245</v>
      </c>
      <c r="H2595" t="s">
        <v>460</v>
      </c>
    </row>
    <row r="2596" spans="1:8" hidden="1" x14ac:dyDescent="0.2">
      <c r="A2596" t="s">
        <v>447</v>
      </c>
      <c r="B2596" t="s">
        <v>85</v>
      </c>
      <c r="C2596" s="4">
        <v>0.92368725388297634</v>
      </c>
      <c r="D2596" t="s">
        <v>456</v>
      </c>
      <c r="E2596" t="s">
        <v>453</v>
      </c>
      <c r="F2596" t="s">
        <v>455</v>
      </c>
      <c r="G2596" t="s">
        <v>245</v>
      </c>
      <c r="H2596" t="s">
        <v>454</v>
      </c>
    </row>
    <row r="2597" spans="1:8" hidden="1" x14ac:dyDescent="0.2">
      <c r="A2597" t="s">
        <v>459</v>
      </c>
      <c r="B2597" t="s">
        <v>187</v>
      </c>
      <c r="C2597" s="4">
        <v>1.253219295071187E-4</v>
      </c>
      <c r="D2597" t="s">
        <v>256</v>
      </c>
      <c r="E2597" t="s">
        <v>458</v>
      </c>
      <c r="F2597" t="s">
        <v>457</v>
      </c>
      <c r="G2597" t="s">
        <v>245</v>
      </c>
    </row>
    <row r="2598" spans="1:8" hidden="1" x14ac:dyDescent="0.2">
      <c r="A2598" t="s">
        <v>447</v>
      </c>
      <c r="B2598" t="s">
        <v>187</v>
      </c>
      <c r="C2598" s="4">
        <v>1.253219295071187E-4</v>
      </c>
      <c r="D2598" t="s">
        <v>256</v>
      </c>
      <c r="E2598" t="s">
        <v>453</v>
      </c>
      <c r="F2598" t="s">
        <v>455</v>
      </c>
      <c r="G2598" t="s">
        <v>245</v>
      </c>
    </row>
    <row r="2599" spans="1:8" hidden="1" x14ac:dyDescent="0.2">
      <c r="A2599" t="s">
        <v>459</v>
      </c>
      <c r="B2599" t="s">
        <v>116</v>
      </c>
      <c r="C2599" s="4">
        <v>5.1647611658444469E-2</v>
      </c>
      <c r="D2599" t="s">
        <v>256</v>
      </c>
      <c r="E2599" t="s">
        <v>458</v>
      </c>
      <c r="F2599" t="s">
        <v>457</v>
      </c>
      <c r="G2599" t="s">
        <v>245</v>
      </c>
    </row>
    <row r="2600" spans="1:8" hidden="1" x14ac:dyDescent="0.2">
      <c r="A2600" t="s">
        <v>447</v>
      </c>
      <c r="B2600" t="s">
        <v>116</v>
      </c>
      <c r="C2600" s="4">
        <v>5.1647611658444469E-2</v>
      </c>
      <c r="D2600" t="s">
        <v>256</v>
      </c>
      <c r="E2600" t="s">
        <v>453</v>
      </c>
      <c r="F2600" t="s">
        <v>455</v>
      </c>
      <c r="G2600" t="s">
        <v>245</v>
      </c>
    </row>
    <row r="2601" spans="1:8" hidden="1" x14ac:dyDescent="0.2">
      <c r="A2601" t="s">
        <v>459</v>
      </c>
      <c r="B2601" t="s">
        <v>86</v>
      </c>
      <c r="C2601" s="4">
        <v>1.2750508702844344E-3</v>
      </c>
      <c r="D2601" t="s">
        <v>462</v>
      </c>
      <c r="E2601" t="s">
        <v>461</v>
      </c>
      <c r="F2601" t="s">
        <v>457</v>
      </c>
      <c r="G2601" t="s">
        <v>245</v>
      </c>
    </row>
    <row r="2602" spans="1:8" hidden="1" x14ac:dyDescent="0.2">
      <c r="A2602" t="s">
        <v>447</v>
      </c>
      <c r="B2602" t="s">
        <v>86</v>
      </c>
      <c r="C2602" s="4">
        <v>1.2750508702844344E-3</v>
      </c>
      <c r="D2602" t="s">
        <v>256</v>
      </c>
      <c r="E2602" t="s">
        <v>453</v>
      </c>
      <c r="F2602" t="s">
        <v>455</v>
      </c>
      <c r="G2602" t="s">
        <v>245</v>
      </c>
    </row>
    <row r="2603" spans="1:8" hidden="1" x14ac:dyDescent="0.2">
      <c r="A2603" t="s">
        <v>459</v>
      </c>
      <c r="B2603" t="s">
        <v>159</v>
      </c>
      <c r="C2603" s="4">
        <v>5.9346225351700312E-3</v>
      </c>
      <c r="D2603" t="s">
        <v>256</v>
      </c>
      <c r="E2603" t="s">
        <v>458</v>
      </c>
      <c r="F2603" t="s">
        <v>457</v>
      </c>
      <c r="G2603" t="s">
        <v>245</v>
      </c>
    </row>
    <row r="2604" spans="1:8" hidden="1" x14ac:dyDescent="0.2">
      <c r="A2604" t="s">
        <v>447</v>
      </c>
      <c r="B2604" t="s">
        <v>159</v>
      </c>
      <c r="C2604" s="4">
        <v>5.9346225351700312E-3</v>
      </c>
      <c r="D2604" t="s">
        <v>256</v>
      </c>
      <c r="E2604" t="s">
        <v>453</v>
      </c>
      <c r="F2604" t="s">
        <v>455</v>
      </c>
      <c r="G2604" t="s">
        <v>245</v>
      </c>
    </row>
    <row r="2605" spans="1:8" hidden="1" x14ac:dyDescent="0.2">
      <c r="A2605" t="s">
        <v>459</v>
      </c>
      <c r="B2605" t="s">
        <v>193</v>
      </c>
      <c r="C2605" s="4">
        <v>1.0832808771647319E-4</v>
      </c>
      <c r="D2605" t="s">
        <v>256</v>
      </c>
      <c r="E2605" t="s">
        <v>458</v>
      </c>
      <c r="F2605" t="s">
        <v>457</v>
      </c>
      <c r="G2605" t="s">
        <v>245</v>
      </c>
    </row>
    <row r="2606" spans="1:8" hidden="1" x14ac:dyDescent="0.2">
      <c r="A2606" t="s">
        <v>447</v>
      </c>
      <c r="B2606" t="s">
        <v>193</v>
      </c>
      <c r="C2606" s="4">
        <v>1.0832808771647319E-4</v>
      </c>
      <c r="D2606" t="s">
        <v>256</v>
      </c>
      <c r="E2606" t="s">
        <v>453</v>
      </c>
      <c r="F2606" t="s">
        <v>455</v>
      </c>
      <c r="G2606" t="s">
        <v>245</v>
      </c>
    </row>
    <row r="2607" spans="1:8" hidden="1" x14ac:dyDescent="0.2">
      <c r="A2607" t="s">
        <v>459</v>
      </c>
      <c r="B2607" t="s">
        <v>203</v>
      </c>
      <c r="C2607" s="4">
        <v>6.3898932821946685E-3</v>
      </c>
      <c r="D2607" t="s">
        <v>256</v>
      </c>
      <c r="E2607" t="s">
        <v>458</v>
      </c>
      <c r="F2607" t="s">
        <v>457</v>
      </c>
      <c r="G2607" t="s">
        <v>245</v>
      </c>
    </row>
    <row r="2608" spans="1:8" hidden="1" x14ac:dyDescent="0.2">
      <c r="A2608" t="s">
        <v>447</v>
      </c>
      <c r="B2608" t="s">
        <v>203</v>
      </c>
      <c r="C2608" s="4">
        <v>6.3898932821946685E-3</v>
      </c>
      <c r="D2608" t="s">
        <v>256</v>
      </c>
      <c r="E2608" t="s">
        <v>453</v>
      </c>
      <c r="F2608" t="s">
        <v>455</v>
      </c>
      <c r="G2608" t="s">
        <v>245</v>
      </c>
    </row>
    <row r="2609" spans="1:8" hidden="1" x14ac:dyDescent="0.2">
      <c r="A2609" t="s">
        <v>459</v>
      </c>
      <c r="B2609" t="s">
        <v>107</v>
      </c>
      <c r="C2609" s="4">
        <v>4.7474052495205749E-3</v>
      </c>
      <c r="D2609" t="s">
        <v>256</v>
      </c>
      <c r="E2609" t="s">
        <v>458</v>
      </c>
      <c r="F2609" t="s">
        <v>457</v>
      </c>
      <c r="G2609" t="s">
        <v>245</v>
      </c>
    </row>
    <row r="2610" spans="1:8" hidden="1" x14ac:dyDescent="0.2">
      <c r="A2610" t="s">
        <v>447</v>
      </c>
      <c r="B2610" t="s">
        <v>107</v>
      </c>
      <c r="C2610" s="4">
        <v>4.7474052495205749E-3</v>
      </c>
      <c r="D2610" t="s">
        <v>256</v>
      </c>
      <c r="E2610" t="s">
        <v>453</v>
      </c>
      <c r="F2610" t="s">
        <v>455</v>
      </c>
      <c r="G2610" t="s">
        <v>245</v>
      </c>
    </row>
    <row r="2611" spans="1:8" hidden="1" x14ac:dyDescent="0.2">
      <c r="A2611" t="s">
        <v>459</v>
      </c>
      <c r="B2611" t="s">
        <v>204</v>
      </c>
      <c r="C2611" s="4">
        <v>5.7296775043550819E-3</v>
      </c>
      <c r="D2611" t="s">
        <v>256</v>
      </c>
      <c r="E2611" t="s">
        <v>458</v>
      </c>
      <c r="F2611" t="s">
        <v>457</v>
      </c>
      <c r="G2611" t="s">
        <v>245</v>
      </c>
    </row>
    <row r="2612" spans="1:8" hidden="1" x14ac:dyDescent="0.2">
      <c r="A2612" t="s">
        <v>447</v>
      </c>
      <c r="B2612" t="s">
        <v>204</v>
      </c>
      <c r="C2612" s="4">
        <v>5.7296775043550819E-3</v>
      </c>
      <c r="D2612" t="s">
        <v>256</v>
      </c>
      <c r="E2612" t="s">
        <v>453</v>
      </c>
      <c r="F2612" t="s">
        <v>455</v>
      </c>
      <c r="G2612" t="s">
        <v>245</v>
      </c>
    </row>
    <row r="2613" spans="1:8" hidden="1" x14ac:dyDescent="0.2">
      <c r="A2613" t="s">
        <v>459</v>
      </c>
      <c r="B2613" t="s">
        <v>142</v>
      </c>
      <c r="C2613" s="4">
        <v>3.0741754622242389E-4</v>
      </c>
      <c r="D2613" t="s">
        <v>256</v>
      </c>
      <c r="E2613" t="s">
        <v>458</v>
      </c>
      <c r="F2613" t="s">
        <v>457</v>
      </c>
      <c r="G2613" t="s">
        <v>245</v>
      </c>
    </row>
    <row r="2614" spans="1:8" hidden="1" x14ac:dyDescent="0.2">
      <c r="A2614" t="s">
        <v>447</v>
      </c>
      <c r="B2614" t="s">
        <v>142</v>
      </c>
      <c r="C2614" s="4">
        <v>3.0741754622242389E-4</v>
      </c>
      <c r="D2614" t="s">
        <v>256</v>
      </c>
      <c r="E2614" t="s">
        <v>453</v>
      </c>
      <c r="F2614" t="s">
        <v>455</v>
      </c>
      <c r="G2614" t="s">
        <v>245</v>
      </c>
    </row>
    <row r="2615" spans="1:8" hidden="1" x14ac:dyDescent="0.2">
      <c r="A2615" t="s">
        <v>459</v>
      </c>
      <c r="B2615" t="s">
        <v>158</v>
      </c>
      <c r="C2615" s="4">
        <v>4.2452899240239495E-5</v>
      </c>
      <c r="D2615" t="s">
        <v>256</v>
      </c>
      <c r="E2615" t="s">
        <v>458</v>
      </c>
      <c r="F2615" t="s">
        <v>457</v>
      </c>
      <c r="G2615" t="s">
        <v>245</v>
      </c>
    </row>
    <row r="2616" spans="1:8" hidden="1" x14ac:dyDescent="0.2">
      <c r="A2616" t="s">
        <v>447</v>
      </c>
      <c r="B2616" t="s">
        <v>158</v>
      </c>
      <c r="C2616" s="4">
        <v>4.2452899240239495E-5</v>
      </c>
      <c r="D2616" t="s">
        <v>256</v>
      </c>
      <c r="E2616" t="s">
        <v>453</v>
      </c>
      <c r="F2616" t="s">
        <v>455</v>
      </c>
      <c r="G2616" t="s">
        <v>245</v>
      </c>
    </row>
    <row r="2617" spans="1:8" hidden="1" x14ac:dyDescent="0.2">
      <c r="A2617" t="s">
        <v>448</v>
      </c>
      <c r="B2617" t="s">
        <v>83</v>
      </c>
      <c r="C2617" s="4">
        <v>4.8244099021301091E-2</v>
      </c>
      <c r="D2617" t="s">
        <v>256</v>
      </c>
      <c r="E2617" t="s">
        <v>450</v>
      </c>
      <c r="F2617" t="s">
        <v>451</v>
      </c>
      <c r="G2617" t="s">
        <v>245</v>
      </c>
      <c r="H2617" t="s">
        <v>449</v>
      </c>
    </row>
    <row r="2618" spans="1:8" hidden="1" x14ac:dyDescent="0.2">
      <c r="A2618" t="s">
        <v>448</v>
      </c>
      <c r="B2618" t="s">
        <v>144</v>
      </c>
      <c r="C2618" s="4">
        <v>1.02475532527346E-2</v>
      </c>
      <c r="D2618" t="s">
        <v>256</v>
      </c>
      <c r="E2618" t="s">
        <v>450</v>
      </c>
      <c r="F2618" t="s">
        <v>451</v>
      </c>
      <c r="G2618" t="s">
        <v>245</v>
      </c>
    </row>
    <row r="2619" spans="1:8" hidden="1" x14ac:dyDescent="0.2">
      <c r="A2619" t="s">
        <v>448</v>
      </c>
      <c r="B2619" t="s">
        <v>187</v>
      </c>
      <c r="C2619" s="4">
        <v>3.4542314335060447E-3</v>
      </c>
      <c r="D2619" t="s">
        <v>256</v>
      </c>
      <c r="E2619" t="s">
        <v>450</v>
      </c>
      <c r="F2619" t="s">
        <v>451</v>
      </c>
      <c r="G2619" t="s">
        <v>245</v>
      </c>
    </row>
    <row r="2620" spans="1:8" hidden="1" x14ac:dyDescent="0.2">
      <c r="A2620" t="s">
        <v>448</v>
      </c>
      <c r="B2620" t="s">
        <v>86</v>
      </c>
      <c r="C2620" s="4">
        <v>3.4196891191709843E-2</v>
      </c>
      <c r="D2620" t="s">
        <v>256</v>
      </c>
      <c r="E2620" t="s">
        <v>450</v>
      </c>
      <c r="F2620" t="s">
        <v>451</v>
      </c>
      <c r="G2620" t="s">
        <v>245</v>
      </c>
    </row>
    <row r="2621" spans="1:8" hidden="1" x14ac:dyDescent="0.2">
      <c r="A2621" t="s">
        <v>448</v>
      </c>
      <c r="B2621" t="s">
        <v>159</v>
      </c>
      <c r="C2621" s="4">
        <v>0.38906160046056421</v>
      </c>
      <c r="D2621" t="s">
        <v>299</v>
      </c>
      <c r="E2621" t="s">
        <v>450</v>
      </c>
      <c r="F2621" t="s">
        <v>451</v>
      </c>
      <c r="G2621" t="s">
        <v>245</v>
      </c>
    </row>
    <row r="2622" spans="1:8" hidden="1" x14ac:dyDescent="0.2">
      <c r="A2622" t="s">
        <v>448</v>
      </c>
      <c r="B2622" t="s">
        <v>193</v>
      </c>
      <c r="C2622" s="4">
        <v>1.6004605641911342E-2</v>
      </c>
      <c r="D2622" t="s">
        <v>256</v>
      </c>
      <c r="E2622" t="s">
        <v>450</v>
      </c>
      <c r="F2622" t="s">
        <v>451</v>
      </c>
      <c r="G2622" t="s">
        <v>245</v>
      </c>
    </row>
    <row r="2623" spans="1:8" hidden="1" x14ac:dyDescent="0.2">
      <c r="A2623" t="s">
        <v>448</v>
      </c>
      <c r="B2623" t="s">
        <v>103</v>
      </c>
      <c r="C2623" s="4">
        <v>4.8359240069084626E-3</v>
      </c>
      <c r="D2623" t="s">
        <v>256</v>
      </c>
      <c r="E2623" t="s">
        <v>450</v>
      </c>
      <c r="F2623" t="s">
        <v>451</v>
      </c>
      <c r="G2623" t="s">
        <v>245</v>
      </c>
    </row>
    <row r="2624" spans="1:8" hidden="1" x14ac:dyDescent="0.2">
      <c r="A2624" t="s">
        <v>448</v>
      </c>
      <c r="B2624" t="s">
        <v>105</v>
      </c>
      <c r="C2624" s="4">
        <v>5.4461715601611976E-2</v>
      </c>
      <c r="D2624" t="s">
        <v>256</v>
      </c>
      <c r="E2624" t="s">
        <v>450</v>
      </c>
      <c r="F2624" t="s">
        <v>451</v>
      </c>
      <c r="G2624" t="s">
        <v>245</v>
      </c>
    </row>
    <row r="2625" spans="1:8" hidden="1" x14ac:dyDescent="0.2">
      <c r="A2625" t="s">
        <v>448</v>
      </c>
      <c r="B2625" t="s">
        <v>203</v>
      </c>
      <c r="C2625" s="4">
        <v>0.25480713874496258</v>
      </c>
      <c r="D2625" t="s">
        <v>256</v>
      </c>
      <c r="E2625" t="s">
        <v>450</v>
      </c>
      <c r="F2625" t="s">
        <v>451</v>
      </c>
      <c r="G2625" t="s">
        <v>245</v>
      </c>
    </row>
    <row r="2626" spans="1:8" hidden="1" x14ac:dyDescent="0.2">
      <c r="A2626" t="s">
        <v>448</v>
      </c>
      <c r="B2626" t="s">
        <v>107</v>
      </c>
      <c r="C2626" s="4">
        <v>2.5676453655728269E-2</v>
      </c>
      <c r="D2626" t="s">
        <v>256</v>
      </c>
      <c r="E2626" t="s">
        <v>450</v>
      </c>
      <c r="F2626" t="s">
        <v>451</v>
      </c>
      <c r="G2626" t="s">
        <v>245</v>
      </c>
    </row>
    <row r="2627" spans="1:8" hidden="1" x14ac:dyDescent="0.2">
      <c r="A2627" t="s">
        <v>448</v>
      </c>
      <c r="B2627" t="s">
        <v>204</v>
      </c>
      <c r="C2627" s="4">
        <v>0.15290731145653425</v>
      </c>
      <c r="D2627" t="s">
        <v>452</v>
      </c>
      <c r="E2627" t="s">
        <v>450</v>
      </c>
      <c r="F2627" t="s">
        <v>451</v>
      </c>
      <c r="G2627" t="s">
        <v>245</v>
      </c>
    </row>
    <row r="2628" spans="1:8" hidden="1" x14ac:dyDescent="0.2">
      <c r="A2628" t="s">
        <v>448</v>
      </c>
      <c r="B2628" t="s">
        <v>121</v>
      </c>
      <c r="C2628" s="4">
        <v>4.9510650546919976E-3</v>
      </c>
      <c r="D2628" t="s">
        <v>256</v>
      </c>
      <c r="E2628" t="s">
        <v>450</v>
      </c>
      <c r="F2628" t="s">
        <v>451</v>
      </c>
      <c r="G2628" t="s">
        <v>245</v>
      </c>
    </row>
    <row r="2629" spans="1:8" hidden="1" x14ac:dyDescent="0.2">
      <c r="A2629" t="s">
        <v>448</v>
      </c>
      <c r="B2629" t="s">
        <v>158</v>
      </c>
      <c r="C2629" s="4">
        <v>1.1514104778353484E-3</v>
      </c>
      <c r="D2629" t="s">
        <v>256</v>
      </c>
      <c r="E2629" t="s">
        <v>450</v>
      </c>
      <c r="F2629" t="s">
        <v>451</v>
      </c>
      <c r="G2629" t="s">
        <v>245</v>
      </c>
    </row>
    <row r="2630" spans="1:8" hidden="1" x14ac:dyDescent="0.2">
      <c r="A2630" t="s">
        <v>71</v>
      </c>
      <c r="B2630" t="s">
        <v>147</v>
      </c>
      <c r="C2630" s="4">
        <v>6.7950169875424689E-3</v>
      </c>
      <c r="D2630" t="s">
        <v>256</v>
      </c>
      <c r="E2630" t="s">
        <v>439</v>
      </c>
      <c r="F2630" t="s">
        <v>440</v>
      </c>
      <c r="G2630" t="s">
        <v>245</v>
      </c>
      <c r="H2630" t="s">
        <v>441</v>
      </c>
    </row>
    <row r="2631" spans="1:8" hidden="1" x14ac:dyDescent="0.2">
      <c r="A2631" t="s">
        <v>71</v>
      </c>
      <c r="B2631" t="s">
        <v>116</v>
      </c>
      <c r="C2631" s="4">
        <v>3.661759154397886E-2</v>
      </c>
      <c r="D2631" t="s">
        <v>289</v>
      </c>
      <c r="E2631" t="s">
        <v>439</v>
      </c>
      <c r="F2631" t="s">
        <v>440</v>
      </c>
      <c r="G2631" t="s">
        <v>245</v>
      </c>
    </row>
    <row r="2632" spans="1:8" hidden="1" x14ac:dyDescent="0.2">
      <c r="A2632" t="s">
        <v>71</v>
      </c>
      <c r="B2632" t="s">
        <v>86</v>
      </c>
      <c r="C2632" s="4">
        <v>0.67497168742921854</v>
      </c>
      <c r="D2632" t="s">
        <v>256</v>
      </c>
      <c r="E2632" t="s">
        <v>439</v>
      </c>
      <c r="F2632" t="s">
        <v>440</v>
      </c>
      <c r="G2632" t="s">
        <v>245</v>
      </c>
    </row>
    <row r="2633" spans="1:8" hidden="1" x14ac:dyDescent="0.2">
      <c r="A2633" t="s">
        <v>71</v>
      </c>
      <c r="B2633" t="s">
        <v>119</v>
      </c>
      <c r="C2633" s="4">
        <v>0.1098527746319366</v>
      </c>
      <c r="D2633" t="s">
        <v>256</v>
      </c>
      <c r="E2633" t="s">
        <v>439</v>
      </c>
      <c r="F2633" t="s">
        <v>440</v>
      </c>
      <c r="G2633" t="s">
        <v>245</v>
      </c>
    </row>
    <row r="2634" spans="1:8" hidden="1" x14ac:dyDescent="0.2">
      <c r="A2634" t="s">
        <v>71</v>
      </c>
      <c r="B2634" t="s">
        <v>107</v>
      </c>
      <c r="C2634" s="4">
        <v>9.4752736881842201E-2</v>
      </c>
      <c r="D2634" t="s">
        <v>256</v>
      </c>
      <c r="E2634" t="s">
        <v>439</v>
      </c>
      <c r="F2634" t="s">
        <v>440</v>
      </c>
      <c r="G2634" t="s">
        <v>245</v>
      </c>
    </row>
    <row r="2635" spans="1:8" hidden="1" x14ac:dyDescent="0.2">
      <c r="A2635" t="s">
        <v>71</v>
      </c>
      <c r="B2635" t="s">
        <v>138</v>
      </c>
      <c r="C2635" s="4">
        <v>7.7010192525481316E-2</v>
      </c>
      <c r="D2635" t="s">
        <v>256</v>
      </c>
      <c r="E2635" t="s">
        <v>439</v>
      </c>
      <c r="F2635" t="s">
        <v>440</v>
      </c>
      <c r="G2635" t="s">
        <v>245</v>
      </c>
    </row>
    <row r="2636" spans="1:8" hidden="1" x14ac:dyDescent="0.2">
      <c r="A2636" t="s">
        <v>72</v>
      </c>
      <c r="B2636" t="s">
        <v>83</v>
      </c>
      <c r="C2636" s="4">
        <v>2.548286828840101E-2</v>
      </c>
      <c r="D2636" t="s">
        <v>311</v>
      </c>
      <c r="E2636" t="s">
        <v>435</v>
      </c>
      <c r="F2636" t="s">
        <v>434</v>
      </c>
      <c r="G2636" t="s">
        <v>245</v>
      </c>
      <c r="H2636" t="s">
        <v>436</v>
      </c>
    </row>
    <row r="2637" spans="1:8" hidden="1" x14ac:dyDescent="0.2">
      <c r="A2637" t="s">
        <v>72</v>
      </c>
      <c r="B2637" t="s">
        <v>144</v>
      </c>
      <c r="C2637" s="4">
        <v>5.7069676493804677E-2</v>
      </c>
      <c r="D2637" t="s">
        <v>311</v>
      </c>
      <c r="E2637" t="s">
        <v>435</v>
      </c>
      <c r="F2637" t="s">
        <v>434</v>
      </c>
      <c r="G2637" t="s">
        <v>245</v>
      </c>
    </row>
    <row r="2638" spans="1:8" hidden="1" x14ac:dyDescent="0.2">
      <c r="A2638" t="s">
        <v>72</v>
      </c>
      <c r="B2638" t="s">
        <v>85</v>
      </c>
      <c r="C2638" s="4">
        <v>5.4316418340642818E-2</v>
      </c>
      <c r="D2638" t="s">
        <v>311</v>
      </c>
      <c r="E2638" t="s">
        <v>435</v>
      </c>
      <c r="F2638" t="s">
        <v>434</v>
      </c>
      <c r="G2638" t="s">
        <v>245</v>
      </c>
    </row>
    <row r="2639" spans="1:8" hidden="1" x14ac:dyDescent="0.2">
      <c r="A2639" t="s">
        <v>72</v>
      </c>
      <c r="B2639" t="s">
        <v>187</v>
      </c>
      <c r="C2639" s="4">
        <v>4.1924463907294532E-4</v>
      </c>
      <c r="D2639" t="s">
        <v>311</v>
      </c>
      <c r="E2639" t="s">
        <v>435</v>
      </c>
      <c r="F2639" t="s">
        <v>434</v>
      </c>
      <c r="G2639" t="s">
        <v>245</v>
      </c>
    </row>
    <row r="2640" spans="1:8" hidden="1" x14ac:dyDescent="0.2">
      <c r="A2640" t="s">
        <v>72</v>
      </c>
      <c r="B2640" t="s">
        <v>86</v>
      </c>
      <c r="C2640" s="4">
        <v>0.29523338497466523</v>
      </c>
      <c r="D2640" t="s">
        <v>311</v>
      </c>
      <c r="E2640" t="s">
        <v>435</v>
      </c>
      <c r="F2640" t="s">
        <v>434</v>
      </c>
      <c r="G2640" t="s">
        <v>245</v>
      </c>
    </row>
    <row r="2641" spans="1:7" hidden="1" x14ac:dyDescent="0.2">
      <c r="A2641" t="s">
        <v>72</v>
      </c>
      <c r="B2641" t="s">
        <v>87</v>
      </c>
      <c r="C2641" s="4">
        <v>2.0962231953647269E-5</v>
      </c>
      <c r="D2641" t="s">
        <v>311</v>
      </c>
      <c r="E2641" t="s">
        <v>435</v>
      </c>
      <c r="F2641" t="s">
        <v>434</v>
      </c>
      <c r="G2641" t="s">
        <v>245</v>
      </c>
    </row>
    <row r="2642" spans="1:7" hidden="1" x14ac:dyDescent="0.2">
      <c r="A2642" t="s">
        <v>72</v>
      </c>
      <c r="B2642" t="s">
        <v>159</v>
      </c>
      <c r="C2642" s="4">
        <v>3.9502015977151167E-2</v>
      </c>
      <c r="D2642" t="s">
        <v>311</v>
      </c>
      <c r="E2642" t="s">
        <v>435</v>
      </c>
      <c r="F2642" t="s">
        <v>434</v>
      </c>
      <c r="G2642" t="s">
        <v>245</v>
      </c>
    </row>
    <row r="2643" spans="1:7" hidden="1" x14ac:dyDescent="0.2">
      <c r="A2643" t="s">
        <v>72</v>
      </c>
      <c r="B2643" t="s">
        <v>97</v>
      </c>
      <c r="C2643" s="4">
        <v>2.7512929439162031E-5</v>
      </c>
      <c r="D2643" t="s">
        <v>311</v>
      </c>
      <c r="E2643" t="s">
        <v>435</v>
      </c>
      <c r="F2643" t="s">
        <v>434</v>
      </c>
      <c r="G2643" t="s">
        <v>245</v>
      </c>
    </row>
    <row r="2644" spans="1:7" hidden="1" x14ac:dyDescent="0.2">
      <c r="A2644" t="s">
        <v>72</v>
      </c>
      <c r="B2644" t="s">
        <v>98</v>
      </c>
      <c r="C2644" s="4">
        <v>0.2275836769720056</v>
      </c>
      <c r="D2644" t="s">
        <v>311</v>
      </c>
      <c r="E2644" t="s">
        <v>435</v>
      </c>
      <c r="F2644" t="s">
        <v>434</v>
      </c>
      <c r="G2644" t="s">
        <v>245</v>
      </c>
    </row>
    <row r="2645" spans="1:7" hidden="1" x14ac:dyDescent="0.2">
      <c r="A2645" t="s">
        <v>72</v>
      </c>
      <c r="B2645" t="s">
        <v>148</v>
      </c>
      <c r="C2645" s="4">
        <v>2.423758069640465E-5</v>
      </c>
      <c r="D2645" t="s">
        <v>311</v>
      </c>
      <c r="E2645" t="s">
        <v>435</v>
      </c>
      <c r="F2645" t="s">
        <v>434</v>
      </c>
      <c r="G2645" t="s">
        <v>245</v>
      </c>
    </row>
    <row r="2646" spans="1:7" hidden="1" x14ac:dyDescent="0.2">
      <c r="A2646" t="s">
        <v>72</v>
      </c>
      <c r="B2646" t="s">
        <v>171</v>
      </c>
      <c r="C2646" s="4">
        <v>2.2436138887888088E-3</v>
      </c>
      <c r="D2646" t="s">
        <v>311</v>
      </c>
      <c r="E2646" t="s">
        <v>435</v>
      </c>
      <c r="F2646" t="s">
        <v>434</v>
      </c>
      <c r="G2646" t="s">
        <v>245</v>
      </c>
    </row>
    <row r="2647" spans="1:7" hidden="1" x14ac:dyDescent="0.2">
      <c r="A2647" t="s">
        <v>72</v>
      </c>
      <c r="B2647" t="s">
        <v>103</v>
      </c>
      <c r="C2647" s="4">
        <v>1.136480506761958E-2</v>
      </c>
      <c r="D2647" t="s">
        <v>311</v>
      </c>
      <c r="E2647" t="s">
        <v>435</v>
      </c>
      <c r="F2647" t="s">
        <v>434</v>
      </c>
      <c r="G2647" t="s">
        <v>245</v>
      </c>
    </row>
    <row r="2648" spans="1:7" hidden="1" x14ac:dyDescent="0.2">
      <c r="A2648" t="s">
        <v>72</v>
      </c>
      <c r="B2648" t="s">
        <v>173</v>
      </c>
      <c r="C2648" s="4">
        <v>7.336781183776542E-5</v>
      </c>
      <c r="D2648" t="s">
        <v>311</v>
      </c>
      <c r="E2648" t="s">
        <v>435</v>
      </c>
      <c r="F2648" t="s">
        <v>434</v>
      </c>
      <c r="G2648" t="s">
        <v>245</v>
      </c>
    </row>
    <row r="2649" spans="1:7" hidden="1" x14ac:dyDescent="0.2">
      <c r="A2649" t="s">
        <v>72</v>
      </c>
      <c r="B2649" t="s">
        <v>174</v>
      </c>
      <c r="C2649" s="4">
        <v>0.15787180940090589</v>
      </c>
      <c r="D2649" t="s">
        <v>311</v>
      </c>
      <c r="E2649" t="s">
        <v>435</v>
      </c>
      <c r="F2649" t="s">
        <v>434</v>
      </c>
      <c r="G2649" t="s">
        <v>245</v>
      </c>
    </row>
    <row r="2650" spans="1:7" hidden="1" x14ac:dyDescent="0.2">
      <c r="A2650" t="s">
        <v>72</v>
      </c>
      <c r="B2650" t="s">
        <v>175</v>
      </c>
      <c r="C2650" s="4">
        <v>4.9654286940201955E-4</v>
      </c>
      <c r="D2650" t="s">
        <v>311</v>
      </c>
      <c r="E2650" t="s">
        <v>435</v>
      </c>
      <c r="F2650" t="s">
        <v>434</v>
      </c>
      <c r="G2650" t="s">
        <v>245</v>
      </c>
    </row>
    <row r="2651" spans="1:7" hidden="1" x14ac:dyDescent="0.2">
      <c r="A2651" t="s">
        <v>72</v>
      </c>
      <c r="B2651" t="s">
        <v>203</v>
      </c>
      <c r="C2651" s="4">
        <v>2.3743658105996841E-2</v>
      </c>
      <c r="D2651" t="s">
        <v>311</v>
      </c>
      <c r="E2651" t="s">
        <v>435</v>
      </c>
      <c r="F2651" t="s">
        <v>434</v>
      </c>
      <c r="G2651" t="s">
        <v>245</v>
      </c>
    </row>
    <row r="2652" spans="1:7" hidden="1" x14ac:dyDescent="0.2">
      <c r="A2652" t="s">
        <v>72</v>
      </c>
      <c r="B2652" t="s">
        <v>146</v>
      </c>
      <c r="C2652" s="4">
        <v>6.8052575898018747E-2</v>
      </c>
      <c r="D2652" t="s">
        <v>311</v>
      </c>
      <c r="E2652" t="s">
        <v>435</v>
      </c>
      <c r="F2652" t="s">
        <v>434</v>
      </c>
      <c r="G2652" t="s">
        <v>245</v>
      </c>
    </row>
    <row r="2653" spans="1:7" hidden="1" x14ac:dyDescent="0.2">
      <c r="A2653" t="s">
        <v>72</v>
      </c>
      <c r="B2653" t="s">
        <v>178</v>
      </c>
      <c r="C2653" s="4">
        <v>3.0395236332788532E-4</v>
      </c>
      <c r="D2653" t="s">
        <v>311</v>
      </c>
      <c r="E2653" t="s">
        <v>435</v>
      </c>
      <c r="F2653" t="s">
        <v>434</v>
      </c>
      <c r="G2653" t="s">
        <v>245</v>
      </c>
    </row>
    <row r="2654" spans="1:7" hidden="1" x14ac:dyDescent="0.2">
      <c r="A2654" t="s">
        <v>72</v>
      </c>
      <c r="B2654" t="s">
        <v>107</v>
      </c>
      <c r="C2654" s="4">
        <v>6.8513745000998976E-3</v>
      </c>
      <c r="D2654" t="s">
        <v>311</v>
      </c>
      <c r="E2654" t="s">
        <v>435</v>
      </c>
      <c r="F2654" t="s">
        <v>434</v>
      </c>
      <c r="G2654" t="s">
        <v>245</v>
      </c>
    </row>
    <row r="2655" spans="1:7" hidden="1" x14ac:dyDescent="0.2">
      <c r="A2655" t="s">
        <v>72</v>
      </c>
      <c r="B2655" t="s">
        <v>204</v>
      </c>
      <c r="C2655" s="4">
        <v>8.0940418131020507E-3</v>
      </c>
      <c r="D2655" t="s">
        <v>311</v>
      </c>
      <c r="E2655" t="s">
        <v>435</v>
      </c>
      <c r="F2655" t="s">
        <v>434</v>
      </c>
      <c r="G2655" t="s">
        <v>245</v>
      </c>
    </row>
    <row r="2656" spans="1:7" hidden="1" x14ac:dyDescent="0.2">
      <c r="A2656" t="s">
        <v>72</v>
      </c>
      <c r="B2656" t="s">
        <v>121</v>
      </c>
      <c r="C2656" s="4">
        <v>3.5373766421779759E-4</v>
      </c>
      <c r="D2656" t="s">
        <v>311</v>
      </c>
      <c r="E2656" t="s">
        <v>435</v>
      </c>
      <c r="F2656" t="s">
        <v>434</v>
      </c>
      <c r="G2656" t="s">
        <v>245</v>
      </c>
    </row>
    <row r="2657" spans="1:7" hidden="1" x14ac:dyDescent="0.2">
      <c r="A2657" t="s">
        <v>72</v>
      </c>
      <c r="B2657" t="s">
        <v>111</v>
      </c>
      <c r="C2657" s="4">
        <v>1.8669487833717101E-4</v>
      </c>
      <c r="D2657" t="s">
        <v>311</v>
      </c>
      <c r="E2657" t="s">
        <v>435</v>
      </c>
      <c r="F2657" t="s">
        <v>434</v>
      </c>
      <c r="G2657" t="s">
        <v>245</v>
      </c>
    </row>
    <row r="2658" spans="1:7" hidden="1" x14ac:dyDescent="0.2">
      <c r="A2658" t="s">
        <v>72</v>
      </c>
      <c r="B2658" t="s">
        <v>215</v>
      </c>
      <c r="C2658" s="4">
        <v>5.5287886777744661E-4</v>
      </c>
      <c r="D2658" t="s">
        <v>311</v>
      </c>
      <c r="E2658" t="s">
        <v>435</v>
      </c>
      <c r="F2658" t="s">
        <v>434</v>
      </c>
      <c r="G2658" t="s">
        <v>245</v>
      </c>
    </row>
    <row r="2659" spans="1:7" hidden="1" x14ac:dyDescent="0.2">
      <c r="A2659" t="s">
        <v>72</v>
      </c>
      <c r="B2659" t="s">
        <v>142</v>
      </c>
      <c r="C2659" s="4">
        <v>8.7779346305897927E-5</v>
      </c>
      <c r="D2659" t="s">
        <v>311</v>
      </c>
      <c r="E2659" t="s">
        <v>435</v>
      </c>
      <c r="F2659" t="s">
        <v>434</v>
      </c>
      <c r="G2659" t="s">
        <v>245</v>
      </c>
    </row>
    <row r="2660" spans="1:7" hidden="1" x14ac:dyDescent="0.2">
      <c r="A2660" t="s">
        <v>72</v>
      </c>
      <c r="B2660" t="s">
        <v>140</v>
      </c>
      <c r="C2660" s="4">
        <v>3.1770882804746641E-4</v>
      </c>
      <c r="D2660" t="s">
        <v>311</v>
      </c>
      <c r="E2660" t="s">
        <v>435</v>
      </c>
      <c r="F2660" t="s">
        <v>434</v>
      </c>
      <c r="G2660" t="s">
        <v>245</v>
      </c>
    </row>
    <row r="2661" spans="1:7" hidden="1" x14ac:dyDescent="0.2">
      <c r="A2661" t="s">
        <v>72</v>
      </c>
      <c r="B2661" t="s">
        <v>115</v>
      </c>
      <c r="C2661" s="4">
        <v>1.9725460268382081E-2</v>
      </c>
      <c r="D2661" t="s">
        <v>311</v>
      </c>
      <c r="E2661" t="s">
        <v>435</v>
      </c>
      <c r="F2661" t="s">
        <v>434</v>
      </c>
      <c r="G2661" t="s">
        <v>245</v>
      </c>
    </row>
    <row r="2662" spans="1:7" hidden="1" x14ac:dyDescent="0.2">
      <c r="A2662" t="s">
        <v>73</v>
      </c>
      <c r="B2662" t="s">
        <v>83</v>
      </c>
      <c r="C2662" s="4">
        <v>2.0758060778743739E-4</v>
      </c>
      <c r="D2662" t="s">
        <v>311</v>
      </c>
      <c r="E2662" t="s">
        <v>437</v>
      </c>
      <c r="F2662" t="s">
        <v>438</v>
      </c>
      <c r="G2662" t="s">
        <v>245</v>
      </c>
    </row>
    <row r="2663" spans="1:7" hidden="1" x14ac:dyDescent="0.2">
      <c r="A2663" t="s">
        <v>73</v>
      </c>
      <c r="B2663" t="s">
        <v>163</v>
      </c>
      <c r="C2663" s="4">
        <v>2.5346825894044848E-2</v>
      </c>
      <c r="D2663" t="s">
        <v>311</v>
      </c>
      <c r="E2663" t="s">
        <v>437</v>
      </c>
      <c r="F2663" t="s">
        <v>438</v>
      </c>
      <c r="G2663" t="s">
        <v>245</v>
      </c>
    </row>
    <row r="2664" spans="1:7" hidden="1" x14ac:dyDescent="0.2">
      <c r="A2664" t="s">
        <v>73</v>
      </c>
      <c r="B2664" t="s">
        <v>144</v>
      </c>
      <c r="C2664" s="4">
        <v>3.9714944087331901E-2</v>
      </c>
      <c r="D2664" t="s">
        <v>311</v>
      </c>
      <c r="E2664" t="s">
        <v>437</v>
      </c>
      <c r="F2664" t="s">
        <v>438</v>
      </c>
      <c r="G2664" t="s">
        <v>245</v>
      </c>
    </row>
    <row r="2665" spans="1:7" hidden="1" x14ac:dyDescent="0.2">
      <c r="A2665" t="s">
        <v>73</v>
      </c>
      <c r="B2665" t="s">
        <v>85</v>
      </c>
      <c r="C2665" s="4">
        <v>4.0228799958805711E-2</v>
      </c>
      <c r="D2665" t="s">
        <v>311</v>
      </c>
      <c r="E2665" t="s">
        <v>437</v>
      </c>
      <c r="F2665" t="s">
        <v>438</v>
      </c>
      <c r="G2665" t="s">
        <v>245</v>
      </c>
    </row>
    <row r="2666" spans="1:7" hidden="1" x14ac:dyDescent="0.2">
      <c r="A2666" t="s">
        <v>73</v>
      </c>
      <c r="B2666" t="s">
        <v>86</v>
      </c>
      <c r="C2666" s="4">
        <v>0.50526139065061237</v>
      </c>
      <c r="D2666" t="s">
        <v>311</v>
      </c>
      <c r="E2666" t="s">
        <v>437</v>
      </c>
      <c r="F2666" t="s">
        <v>438</v>
      </c>
      <c r="G2666" t="s">
        <v>245</v>
      </c>
    </row>
    <row r="2667" spans="1:7" hidden="1" x14ac:dyDescent="0.2">
      <c r="A2667" t="s">
        <v>73</v>
      </c>
      <c r="B2667" t="s">
        <v>97</v>
      </c>
      <c r="C2667" s="4">
        <v>1.1264063988465599E-5</v>
      </c>
      <c r="D2667" t="s">
        <v>311</v>
      </c>
      <c r="E2667" t="s">
        <v>437</v>
      </c>
      <c r="F2667" t="s">
        <v>438</v>
      </c>
      <c r="G2667" t="s">
        <v>245</v>
      </c>
    </row>
    <row r="2668" spans="1:7" hidden="1" x14ac:dyDescent="0.2">
      <c r="A2668" t="s">
        <v>73</v>
      </c>
      <c r="B2668" t="s">
        <v>98</v>
      </c>
      <c r="C2668" s="4">
        <v>0.1977454707735086</v>
      </c>
      <c r="D2668" t="s">
        <v>311</v>
      </c>
      <c r="E2668" t="s">
        <v>437</v>
      </c>
      <c r="F2668" t="s">
        <v>438</v>
      </c>
      <c r="G2668" t="s">
        <v>245</v>
      </c>
    </row>
    <row r="2669" spans="1:7" hidden="1" x14ac:dyDescent="0.2">
      <c r="A2669" t="s">
        <v>73</v>
      </c>
      <c r="B2669" t="s">
        <v>119</v>
      </c>
      <c r="C2669" s="4">
        <v>4.4021034834922463E-3</v>
      </c>
      <c r="D2669" t="s">
        <v>311</v>
      </c>
      <c r="E2669" t="s">
        <v>437</v>
      </c>
      <c r="F2669" t="s">
        <v>438</v>
      </c>
      <c r="G2669" t="s">
        <v>245</v>
      </c>
    </row>
    <row r="2670" spans="1:7" hidden="1" x14ac:dyDescent="0.2">
      <c r="A2670" t="s">
        <v>73</v>
      </c>
      <c r="B2670" t="s">
        <v>103</v>
      </c>
      <c r="C2670" s="4">
        <v>6.3804485886664208E-2</v>
      </c>
      <c r="D2670" t="s">
        <v>311</v>
      </c>
      <c r="E2670" t="s">
        <v>437</v>
      </c>
      <c r="F2670" t="s">
        <v>438</v>
      </c>
      <c r="G2670" t="s">
        <v>245</v>
      </c>
    </row>
    <row r="2671" spans="1:7" hidden="1" x14ac:dyDescent="0.2">
      <c r="A2671" t="s">
        <v>73</v>
      </c>
      <c r="B2671" t="s">
        <v>146</v>
      </c>
      <c r="C2671" s="4">
        <v>5.4307807176388813E-2</v>
      </c>
      <c r="D2671" t="s">
        <v>311</v>
      </c>
      <c r="E2671" t="s">
        <v>437</v>
      </c>
      <c r="F2671" t="s">
        <v>438</v>
      </c>
      <c r="G2671" t="s">
        <v>245</v>
      </c>
    </row>
    <row r="2672" spans="1:7" hidden="1" x14ac:dyDescent="0.2">
      <c r="A2672" t="s">
        <v>73</v>
      </c>
      <c r="B2672" t="s">
        <v>151</v>
      </c>
      <c r="C2672" s="4">
        <v>1.063542194110933E-2</v>
      </c>
      <c r="D2672" t="s">
        <v>311</v>
      </c>
      <c r="E2672" t="s">
        <v>437</v>
      </c>
      <c r="F2672" t="s">
        <v>438</v>
      </c>
      <c r="G2672" t="s">
        <v>245</v>
      </c>
    </row>
    <row r="2673" spans="1:7" hidden="1" x14ac:dyDescent="0.2">
      <c r="A2673" t="s">
        <v>73</v>
      </c>
      <c r="B2673" t="s">
        <v>107</v>
      </c>
      <c r="C2673" s="4">
        <v>3.5937727963199768E-3</v>
      </c>
      <c r="D2673" t="s">
        <v>311</v>
      </c>
      <c r="E2673" t="s">
        <v>437</v>
      </c>
      <c r="F2673" t="s">
        <v>438</v>
      </c>
      <c r="G2673" t="s">
        <v>245</v>
      </c>
    </row>
    <row r="2674" spans="1:7" hidden="1" x14ac:dyDescent="0.2">
      <c r="A2674" t="s">
        <v>73</v>
      </c>
      <c r="B2674" t="s">
        <v>204</v>
      </c>
      <c r="C2674" s="4">
        <v>1.609151998352228E-3</v>
      </c>
      <c r="D2674" t="s">
        <v>311</v>
      </c>
      <c r="E2674" t="s">
        <v>437</v>
      </c>
      <c r="F2674" t="s">
        <v>438</v>
      </c>
      <c r="G2674" t="s">
        <v>245</v>
      </c>
    </row>
    <row r="2675" spans="1:7" hidden="1" x14ac:dyDescent="0.2">
      <c r="A2675" t="s">
        <v>73</v>
      </c>
      <c r="B2675" t="s">
        <v>208</v>
      </c>
      <c r="C2675" s="4">
        <v>9.1721663906077014E-3</v>
      </c>
      <c r="D2675" t="s">
        <v>311</v>
      </c>
      <c r="E2675" t="s">
        <v>437</v>
      </c>
      <c r="F2675" t="s">
        <v>438</v>
      </c>
      <c r="G2675" t="s">
        <v>245</v>
      </c>
    </row>
    <row r="2676" spans="1:7" hidden="1" x14ac:dyDescent="0.2">
      <c r="A2676" t="s">
        <v>73</v>
      </c>
      <c r="B2676" t="s">
        <v>215</v>
      </c>
      <c r="C2676" s="4">
        <v>2.9208254306090749E-2</v>
      </c>
      <c r="D2676" t="s">
        <v>311</v>
      </c>
      <c r="E2676" t="s">
        <v>437</v>
      </c>
      <c r="F2676" t="s">
        <v>438</v>
      </c>
      <c r="G2676" t="s">
        <v>245</v>
      </c>
    </row>
    <row r="2677" spans="1:7" hidden="1" x14ac:dyDescent="0.2">
      <c r="A2677" t="s">
        <v>73</v>
      </c>
      <c r="B2677" t="s">
        <v>115</v>
      </c>
      <c r="C2677" s="4">
        <v>1.4750559984895431E-2</v>
      </c>
      <c r="D2677" t="s">
        <v>311</v>
      </c>
      <c r="E2677" t="s">
        <v>437</v>
      </c>
      <c r="F2677" t="s">
        <v>438</v>
      </c>
      <c r="G2677" t="s">
        <v>245</v>
      </c>
    </row>
    <row r="2678" spans="1:7" hidden="1" x14ac:dyDescent="0.2">
      <c r="A2678" t="s">
        <v>77</v>
      </c>
      <c r="B2678" t="s">
        <v>83</v>
      </c>
      <c r="C2678" s="2">
        <v>7.0874683712762801E-2</v>
      </c>
      <c r="D2678" t="s">
        <v>308</v>
      </c>
      <c r="E2678" t="s">
        <v>463</v>
      </c>
      <c r="F2678" t="s">
        <v>464</v>
      </c>
      <c r="G2678" t="s">
        <v>245</v>
      </c>
    </row>
    <row r="2679" spans="1:7" hidden="1" x14ac:dyDescent="0.2">
      <c r="A2679" t="s">
        <v>77</v>
      </c>
      <c r="B2679" t="s">
        <v>85</v>
      </c>
      <c r="C2679" s="2">
        <f>(0.855510685714286/(0.855510685714286+0.0759181142857143)) * 0.572417436627207%</f>
        <v>5.2576131822824846E-3</v>
      </c>
      <c r="D2679" t="s">
        <v>242</v>
      </c>
      <c r="E2679" t="s">
        <v>465</v>
      </c>
      <c r="F2679" t="s">
        <v>464</v>
      </c>
      <c r="G2679" t="s">
        <v>245</v>
      </c>
    </row>
    <row r="2680" spans="1:7" hidden="1" x14ac:dyDescent="0.2">
      <c r="A2680" t="s">
        <v>77</v>
      </c>
      <c r="B2680" t="s">
        <v>85</v>
      </c>
      <c r="C2680" s="2">
        <f>(0.0759181142857143/(0.855510685714286+0.0759181142857143)) * 0.572417436627207%</f>
        <v>4.6656118398958577E-4</v>
      </c>
      <c r="D2680" t="s">
        <v>256</v>
      </c>
      <c r="E2680" t="s">
        <v>463</v>
      </c>
      <c r="F2680" t="s">
        <v>464</v>
      </c>
      <c r="G2680" t="s">
        <v>245</v>
      </c>
    </row>
    <row r="2681" spans="1:7" hidden="1" x14ac:dyDescent="0.2">
      <c r="A2681" t="s">
        <v>77</v>
      </c>
      <c r="B2681" t="s">
        <v>116</v>
      </c>
      <c r="C2681" s="2">
        <f>(0.855510685714286/(0.855510685714286+0.0759181142857143)) * 17.6921673277572%</f>
        <v>0.16250129051561907</v>
      </c>
      <c r="D2681" t="s">
        <v>242</v>
      </c>
      <c r="E2681" t="s">
        <v>465</v>
      </c>
      <c r="F2681" t="s">
        <v>464</v>
      </c>
      <c r="G2681" t="s">
        <v>245</v>
      </c>
    </row>
    <row r="2682" spans="1:7" hidden="1" x14ac:dyDescent="0.2">
      <c r="A2682" t="s">
        <v>77</v>
      </c>
      <c r="B2682" t="s">
        <v>116</v>
      </c>
      <c r="C2682" s="2">
        <f>(0.0759181142857143/(0.855510685714286+0.0759181142857143)) * 17.6921673277572%</f>
        <v>1.4420382761952939E-2</v>
      </c>
      <c r="D2682" t="s">
        <v>256</v>
      </c>
      <c r="E2682" t="s">
        <v>463</v>
      </c>
      <c r="F2682" t="s">
        <v>464</v>
      </c>
      <c r="G2682" t="s">
        <v>245</v>
      </c>
    </row>
    <row r="2683" spans="1:7" hidden="1" x14ac:dyDescent="0.2">
      <c r="A2683" t="s">
        <v>77</v>
      </c>
      <c r="B2683" t="s">
        <v>86</v>
      </c>
      <c r="C2683" s="2">
        <f>(0.855510685714286/(0.855510685714286+0.0759181142857143)) * 28.8129582194903%</f>
        <v>0.26464495883972255</v>
      </c>
      <c r="D2683" t="s">
        <v>242</v>
      </c>
      <c r="E2683" t="s">
        <v>465</v>
      </c>
      <c r="F2683" t="s">
        <v>464</v>
      </c>
      <c r="G2683" t="s">
        <v>245</v>
      </c>
    </row>
    <row r="2684" spans="1:7" hidden="1" x14ac:dyDescent="0.2">
      <c r="A2684" t="s">
        <v>77</v>
      </c>
      <c r="B2684" t="s">
        <v>86</v>
      </c>
      <c r="C2684" s="2">
        <f>(0.0759181142857143/(0.855510685714286+0.0759181142857143)) * 28.8129582194903%</f>
        <v>2.3484623355180506E-2</v>
      </c>
      <c r="D2684" t="s">
        <v>256</v>
      </c>
      <c r="E2684" t="s">
        <v>463</v>
      </c>
      <c r="F2684" t="s">
        <v>464</v>
      </c>
      <c r="G2684" t="s">
        <v>245</v>
      </c>
    </row>
    <row r="2685" spans="1:7" hidden="1" x14ac:dyDescent="0.2">
      <c r="A2685" t="s">
        <v>77</v>
      </c>
      <c r="B2685" t="s">
        <v>97</v>
      </c>
      <c r="C2685" s="2">
        <f>(0.855510685714286/(0.855510685714286+0.0759181142857143)) * 3.80774738702791%</f>
        <v>3.497388719463073E-2</v>
      </c>
      <c r="D2685" t="s">
        <v>242</v>
      </c>
      <c r="E2685" t="s">
        <v>465</v>
      </c>
      <c r="F2685" t="s">
        <v>464</v>
      </c>
      <c r="G2685" t="s">
        <v>245</v>
      </c>
    </row>
    <row r="2686" spans="1:7" hidden="1" x14ac:dyDescent="0.2">
      <c r="A2686" t="s">
        <v>77</v>
      </c>
      <c r="B2686" t="s">
        <v>97</v>
      </c>
      <c r="C2686" s="2">
        <f>(0.0759181142857143/(0.855510685714286+0.0759181142857143)) * 3.80774738702791%</f>
        <v>3.1035866756483669E-3</v>
      </c>
      <c r="D2686" t="s">
        <v>256</v>
      </c>
      <c r="E2686" t="s">
        <v>463</v>
      </c>
      <c r="F2686" t="s">
        <v>464</v>
      </c>
      <c r="G2686" t="s">
        <v>245</v>
      </c>
    </row>
    <row r="2687" spans="1:7" hidden="1" x14ac:dyDescent="0.2">
      <c r="A2687" t="s">
        <v>77</v>
      </c>
      <c r="B2687" t="s">
        <v>102</v>
      </c>
      <c r="C2687" s="2">
        <f>(0.855510685714286/(0.855510685714286+0.0759181142857143)) * 0.0539733399584113%</f>
        <v>4.9574126415363913E-4</v>
      </c>
      <c r="D2687" t="s">
        <v>242</v>
      </c>
      <c r="E2687" t="s">
        <v>465</v>
      </c>
      <c r="F2687" t="s">
        <v>464</v>
      </c>
      <c r="G2687" t="s">
        <v>245</v>
      </c>
    </row>
    <row r="2688" spans="1:7" hidden="1" x14ac:dyDescent="0.2">
      <c r="A2688" t="s">
        <v>77</v>
      </c>
      <c r="B2688" t="s">
        <v>102</v>
      </c>
      <c r="C2688" s="2">
        <f>(0.0759181142857143/(0.855510685714286+0.0759181142857143)) * 0.0539733399584113%</f>
        <v>4.3992135430473891E-5</v>
      </c>
      <c r="D2688" t="s">
        <v>256</v>
      </c>
      <c r="E2688" t="s">
        <v>463</v>
      </c>
      <c r="F2688" t="s">
        <v>464</v>
      </c>
      <c r="G2688" t="s">
        <v>245</v>
      </c>
    </row>
    <row r="2689" spans="1:7" hidden="1" x14ac:dyDescent="0.2">
      <c r="A2689" t="s">
        <v>77</v>
      </c>
      <c r="B2689" t="s">
        <v>198</v>
      </c>
      <c r="C2689" s="2">
        <f>(0.855510685714286/(0.855510685714286+0.0759181142857143)) * 2.50489047786112%</f>
        <v>2.3007239741289421E-2</v>
      </c>
      <c r="D2689" t="s">
        <v>242</v>
      </c>
      <c r="E2689" t="s">
        <v>465</v>
      </c>
      <c r="F2689" t="s">
        <v>464</v>
      </c>
      <c r="G2689" t="s">
        <v>245</v>
      </c>
    </row>
    <row r="2690" spans="1:7" hidden="1" x14ac:dyDescent="0.2">
      <c r="A2690" t="s">
        <v>77</v>
      </c>
      <c r="B2690" t="s">
        <v>198</v>
      </c>
      <c r="C2690" s="2">
        <f>(0.0759181142857143/(0.855510685714286+0.0759181142857143)) * 2.50489047786112%</f>
        <v>2.0416650373217787E-3</v>
      </c>
      <c r="D2690" t="s">
        <v>256</v>
      </c>
      <c r="E2690" t="s">
        <v>463</v>
      </c>
      <c r="F2690" t="s">
        <v>464</v>
      </c>
      <c r="G2690" t="s">
        <v>245</v>
      </c>
    </row>
    <row r="2691" spans="1:7" hidden="1" x14ac:dyDescent="0.2">
      <c r="A2691" t="s">
        <v>77</v>
      </c>
      <c r="B2691" t="s">
        <v>148</v>
      </c>
      <c r="C2691" s="2">
        <f>(0.855510685714286/(0.855510685714286+0.0759181142857143)) * 1.94553426338095%</f>
        <v>1.7869592949516639E-2</v>
      </c>
      <c r="D2691" t="s">
        <v>242</v>
      </c>
      <c r="E2691" t="s">
        <v>465</v>
      </c>
      <c r="F2691" t="s">
        <v>464</v>
      </c>
      <c r="G2691" t="s">
        <v>245</v>
      </c>
    </row>
    <row r="2692" spans="1:7" hidden="1" x14ac:dyDescent="0.2">
      <c r="A2692" t="s">
        <v>77</v>
      </c>
      <c r="B2692" t="s">
        <v>148</v>
      </c>
      <c r="C2692" s="2">
        <f>(0.0759181142857143/(0.855510685714286+0.0759181142857143)) * 1.94553426338095%</f>
        <v>1.5857496842928618E-3</v>
      </c>
      <c r="D2692" t="s">
        <v>256</v>
      </c>
      <c r="E2692" t="s">
        <v>463</v>
      </c>
      <c r="F2692" t="s">
        <v>464</v>
      </c>
      <c r="G2692" t="s">
        <v>245</v>
      </c>
    </row>
    <row r="2693" spans="1:7" hidden="1" x14ac:dyDescent="0.2">
      <c r="A2693" t="s">
        <v>77</v>
      </c>
      <c r="B2693" t="s">
        <v>141</v>
      </c>
      <c r="C2693" s="2">
        <f>(0.855510685714286/(0.855510685714286+0.0759181142857143)) * 3.54034454574574%</f>
        <v>3.2517811237915008E-2</v>
      </c>
      <c r="D2693" t="s">
        <v>242</v>
      </c>
      <c r="E2693" t="s">
        <v>465</v>
      </c>
      <c r="F2693" t="s">
        <v>464</v>
      </c>
      <c r="G2693" t="s">
        <v>245</v>
      </c>
    </row>
    <row r="2694" spans="1:7" hidden="1" x14ac:dyDescent="0.2">
      <c r="A2694" t="s">
        <v>77</v>
      </c>
      <c r="B2694" t="s">
        <v>141</v>
      </c>
      <c r="C2694" s="2">
        <f>(0.0759181142857143/(0.855510685714286+0.0759181142857143)) * 3.54034454574574%</f>
        <v>2.8856342195423875E-3</v>
      </c>
      <c r="D2694" t="s">
        <v>256</v>
      </c>
      <c r="E2694" t="s">
        <v>463</v>
      </c>
      <c r="F2694" t="s">
        <v>464</v>
      </c>
      <c r="G2694" t="s">
        <v>245</v>
      </c>
    </row>
    <row r="2695" spans="1:7" hidden="1" x14ac:dyDescent="0.2">
      <c r="A2695" t="s">
        <v>77</v>
      </c>
      <c r="B2695" t="s">
        <v>103</v>
      </c>
      <c r="C2695" s="2">
        <f>(0.855510685714286/(0.855510685714286+0.0759181142857143)) * 0.0706121303190044%</f>
        <v>6.4856736262565602E-4</v>
      </c>
      <c r="D2695" t="s">
        <v>242</v>
      </c>
      <c r="E2695" t="s">
        <v>465</v>
      </c>
      <c r="F2695" t="s">
        <v>464</v>
      </c>
      <c r="G2695" t="s">
        <v>245</v>
      </c>
    </row>
    <row r="2696" spans="1:7" hidden="1" x14ac:dyDescent="0.2">
      <c r="A2696" t="s">
        <v>77</v>
      </c>
      <c r="B2696" t="s">
        <v>103</v>
      </c>
      <c r="C2696" s="2">
        <f>(0.0759181142857143/(0.855510685714286+0.0759181142857143)) * 0.0706121303190044%</f>
        <v>5.7553940564388021E-5</v>
      </c>
      <c r="D2696" t="s">
        <v>256</v>
      </c>
      <c r="E2696" t="s">
        <v>463</v>
      </c>
      <c r="F2696" t="s">
        <v>464</v>
      </c>
      <c r="G2696" t="s">
        <v>245</v>
      </c>
    </row>
    <row r="2697" spans="1:7" hidden="1" x14ac:dyDescent="0.2">
      <c r="A2697" t="s">
        <v>77</v>
      </c>
      <c r="B2697" t="s">
        <v>105</v>
      </c>
      <c r="C2697" s="2">
        <f>(0.855510685714286/(0.855510685714286+0.0759181142857143)) * 6.96353922333522%</f>
        <v>6.395960932229966E-2</v>
      </c>
      <c r="D2697" t="s">
        <v>242</v>
      </c>
      <c r="E2697" t="s">
        <v>465</v>
      </c>
      <c r="F2697" t="s">
        <v>464</v>
      </c>
      <c r="G2697" t="s">
        <v>245</v>
      </c>
    </row>
    <row r="2698" spans="1:7" hidden="1" x14ac:dyDescent="0.2">
      <c r="A2698" t="s">
        <v>77</v>
      </c>
      <c r="B2698" t="s">
        <v>105</v>
      </c>
      <c r="C2698" s="2">
        <f>(0.0759181142857143/(0.855510685714286+0.0759181142857143)) * 6.96353922333522%</f>
        <v>5.6757829110525371E-3</v>
      </c>
      <c r="D2698" t="s">
        <v>256</v>
      </c>
      <c r="E2698" t="s">
        <v>463</v>
      </c>
      <c r="F2698" t="s">
        <v>464</v>
      </c>
      <c r="G2698" t="s">
        <v>245</v>
      </c>
    </row>
    <row r="2699" spans="1:7" hidden="1" x14ac:dyDescent="0.2">
      <c r="A2699" t="s">
        <v>77</v>
      </c>
      <c r="B2699" t="s">
        <v>132</v>
      </c>
      <c r="C2699" s="2">
        <f>(0.855510685714286/(0.855510685714286+0.0759181142857143)) * 5.59690245860549%</f>
        <v>5.1407148460918907E-2</v>
      </c>
      <c r="D2699" t="s">
        <v>242</v>
      </c>
      <c r="E2699" t="s">
        <v>465</v>
      </c>
      <c r="F2699" t="s">
        <v>464</v>
      </c>
      <c r="G2699" t="s">
        <v>245</v>
      </c>
    </row>
    <row r="2700" spans="1:7" hidden="1" x14ac:dyDescent="0.2">
      <c r="A2700" t="s">
        <v>77</v>
      </c>
      <c r="B2700" t="s">
        <v>132</v>
      </c>
      <c r="C2700" s="2">
        <f>(0.0759181142857143/(0.855510685714286+0.0759181142857143)) * 5.59690245860549%</f>
        <v>4.561876125135993E-3</v>
      </c>
      <c r="D2700" t="s">
        <v>256</v>
      </c>
      <c r="E2700" t="s">
        <v>463</v>
      </c>
      <c r="F2700" t="s">
        <v>464</v>
      </c>
      <c r="G2700" t="s">
        <v>245</v>
      </c>
    </row>
    <row r="2701" spans="1:7" hidden="1" x14ac:dyDescent="0.2">
      <c r="A2701" t="s">
        <v>77</v>
      </c>
      <c r="B2701" t="s">
        <v>107</v>
      </c>
      <c r="C2701" s="2">
        <f>(0.855510685714286/(0.855510685714286+0.0759181142857143)) * 0.576597516898608%</f>
        <v>5.2960069203688209E-3</v>
      </c>
      <c r="D2701" t="s">
        <v>242</v>
      </c>
      <c r="E2701" t="s">
        <v>465</v>
      </c>
      <c r="F2701" t="s">
        <v>464</v>
      </c>
      <c r="G2701" t="s">
        <v>245</v>
      </c>
    </row>
    <row r="2702" spans="1:7" hidden="1" x14ac:dyDescent="0.2">
      <c r="A2702" t="s">
        <v>77</v>
      </c>
      <c r="B2702" t="s">
        <v>107</v>
      </c>
      <c r="C2702" s="2">
        <f>(0.0759181142857143/(0.855510685714286+0.0759181142857143)) * 0.576597516898608%</f>
        <v>4.6996824861725978E-4</v>
      </c>
      <c r="D2702" t="s">
        <v>256</v>
      </c>
      <c r="E2702" t="s">
        <v>463</v>
      </c>
      <c r="F2702" t="s">
        <v>464</v>
      </c>
      <c r="G2702" t="s">
        <v>245</v>
      </c>
    </row>
    <row r="2703" spans="1:7" hidden="1" x14ac:dyDescent="0.2">
      <c r="A2703" t="s">
        <v>77</v>
      </c>
      <c r="B2703" t="s">
        <v>205</v>
      </c>
      <c r="C2703" s="2">
        <f>(0.855510685714286/(0.855510685714286+0.0759181142857143)) * 2.98737544826306%</f>
        <v>2.7438829658579938E-2</v>
      </c>
      <c r="D2703" t="s">
        <v>242</v>
      </c>
      <c r="E2703" t="s">
        <v>465</v>
      </c>
      <c r="F2703" t="s">
        <v>464</v>
      </c>
      <c r="G2703" t="s">
        <v>245</v>
      </c>
    </row>
    <row r="2704" spans="1:7" hidden="1" x14ac:dyDescent="0.2">
      <c r="A2704" t="s">
        <v>77</v>
      </c>
      <c r="B2704" t="s">
        <v>205</v>
      </c>
      <c r="C2704" s="2">
        <f>(0.0759181142857143/(0.855510685714286+0.0759181142857143)) * 2.98737544826306%</f>
        <v>2.4349248240506617E-3</v>
      </c>
      <c r="D2704" t="s">
        <v>256</v>
      </c>
      <c r="E2704" t="s">
        <v>463</v>
      </c>
      <c r="F2704" t="s">
        <v>464</v>
      </c>
      <c r="G2704" t="s">
        <v>245</v>
      </c>
    </row>
    <row r="2705" spans="1:7" hidden="1" x14ac:dyDescent="0.2">
      <c r="A2705" t="s">
        <v>77</v>
      </c>
      <c r="B2705" t="s">
        <v>109</v>
      </c>
      <c r="C2705" s="2">
        <f>(0.855510685714286/(0.855510685714286+0.0759181142857143)) * 0.359367868482005%</f>
        <v>3.3007681487701624E-3</v>
      </c>
      <c r="D2705" t="s">
        <v>242</v>
      </c>
      <c r="E2705" t="s">
        <v>465</v>
      </c>
      <c r="F2705" t="s">
        <v>464</v>
      </c>
      <c r="G2705" t="s">
        <v>245</v>
      </c>
    </row>
    <row r="2706" spans="1:7" hidden="1" x14ac:dyDescent="0.2">
      <c r="A2706" t="s">
        <v>77</v>
      </c>
      <c r="B2706" t="s">
        <v>109</v>
      </c>
      <c r="C2706" s="2">
        <f>(0.0759181142857143/(0.855510685714286+0.0759181142857143)) * 0.359367868482005%</f>
        <v>2.9291053604988803E-4</v>
      </c>
      <c r="D2706" t="s">
        <v>256</v>
      </c>
      <c r="E2706" t="s">
        <v>463</v>
      </c>
      <c r="F2706" t="s">
        <v>464</v>
      </c>
      <c r="G2706" t="s">
        <v>245</v>
      </c>
    </row>
    <row r="2707" spans="1:7" hidden="1" x14ac:dyDescent="0.2">
      <c r="A2707" t="s">
        <v>77</v>
      </c>
      <c r="B2707" t="s">
        <v>137</v>
      </c>
      <c r="C2707" s="2">
        <f>(0.855510685714286/(0.855510685714286+0.0759181142857143)) * 8.24520222053495%</f>
        <v>7.5731592211265158E-2</v>
      </c>
      <c r="D2707" t="s">
        <v>242</v>
      </c>
      <c r="E2707" t="s">
        <v>465</v>
      </c>
      <c r="F2707" t="s">
        <v>464</v>
      </c>
      <c r="G2707" t="s">
        <v>245</v>
      </c>
    </row>
    <row r="2708" spans="1:7" hidden="1" x14ac:dyDescent="0.2">
      <c r="A2708" t="s">
        <v>77</v>
      </c>
      <c r="B2708" t="s">
        <v>137</v>
      </c>
      <c r="C2708" s="2">
        <f>(0.0759181142857143/(0.855510685714286+0.0759181142857143)) * 8.24520222053495%</f>
        <v>6.7204299940843287E-3</v>
      </c>
      <c r="D2708" t="s">
        <v>256</v>
      </c>
      <c r="E2708" t="s">
        <v>463</v>
      </c>
      <c r="F2708" t="s">
        <v>464</v>
      </c>
      <c r="G2708" t="s">
        <v>245</v>
      </c>
    </row>
    <row r="2709" spans="1:7" hidden="1" x14ac:dyDescent="0.2">
      <c r="A2709" t="s">
        <v>77</v>
      </c>
      <c r="B2709" t="s">
        <v>211</v>
      </c>
      <c r="C2709" s="2">
        <f>(0.855510685714286/(0.855510685714286+0.0759181142857143)) * 0.335430447618274%</f>
        <v>3.080904651556398E-3</v>
      </c>
      <c r="D2709" t="s">
        <v>242</v>
      </c>
      <c r="E2709" t="s">
        <v>465</v>
      </c>
      <c r="F2709" t="s">
        <v>464</v>
      </c>
      <c r="G2709" t="s">
        <v>245</v>
      </c>
    </row>
    <row r="2710" spans="1:7" hidden="1" x14ac:dyDescent="0.2">
      <c r="A2710" t="s">
        <v>77</v>
      </c>
      <c r="B2710" t="s">
        <v>211</v>
      </c>
      <c r="C2710" s="2">
        <f>(0.0759181142857143/(0.855510685714286+0.0759181142857143)) * 0.335430447618274%</f>
        <v>2.7339982462634205E-4</v>
      </c>
      <c r="D2710" t="s">
        <v>256</v>
      </c>
      <c r="E2710" t="s">
        <v>463</v>
      </c>
      <c r="F2710" t="s">
        <v>464</v>
      </c>
      <c r="G2710" t="s">
        <v>245</v>
      </c>
    </row>
    <row r="2711" spans="1:7" hidden="1" x14ac:dyDescent="0.2">
      <c r="A2711" t="s">
        <v>77</v>
      </c>
      <c r="B2711" t="s">
        <v>215</v>
      </c>
      <c r="C2711" s="2">
        <f>(0.855510685714286/(0.855510685714286+0.0759181142857143)) * 0.00437249278243142%</f>
        <v>4.0161033227431552E-5</v>
      </c>
      <c r="D2711" t="s">
        <v>242</v>
      </c>
      <c r="E2711" t="s">
        <v>465</v>
      </c>
      <c r="F2711" t="s">
        <v>464</v>
      </c>
      <c r="G2711" t="s">
        <v>245</v>
      </c>
    </row>
    <row r="2712" spans="1:7" hidden="1" x14ac:dyDescent="0.2">
      <c r="A2712" t="s">
        <v>77</v>
      </c>
      <c r="B2712" t="s">
        <v>215</v>
      </c>
      <c r="C2712" s="2">
        <f>(0.0759181142857143/(0.855510685714286+0.0759181142857143)) * 0.00437249278243142%</f>
        <v>3.563894596882653E-6</v>
      </c>
      <c r="D2712" t="s">
        <v>256</v>
      </c>
      <c r="E2712" t="s">
        <v>463</v>
      </c>
      <c r="F2712" t="s">
        <v>464</v>
      </c>
      <c r="G2712" t="s">
        <v>245</v>
      </c>
    </row>
    <row r="2713" spans="1:7" hidden="1" x14ac:dyDescent="0.2">
      <c r="A2713" t="s">
        <v>77</v>
      </c>
      <c r="B2713" t="s">
        <v>122</v>
      </c>
      <c r="C2713" s="2">
        <f>(0.855510685714286/(0.855510685714286+0.0759181142857143)) * 4.87867873459456%</f>
        <v>4.4810314965703188E-2</v>
      </c>
      <c r="D2713" t="s">
        <v>242</v>
      </c>
      <c r="E2713" t="s">
        <v>465</v>
      </c>
      <c r="F2713" t="s">
        <v>464</v>
      </c>
      <c r="G2713" t="s">
        <v>245</v>
      </c>
    </row>
    <row r="2714" spans="1:7" hidden="1" x14ac:dyDescent="0.2">
      <c r="A2714" t="s">
        <v>77</v>
      </c>
      <c r="B2714" t="s">
        <v>122</v>
      </c>
      <c r="C2714" s="2">
        <f>(0.0759181142857143/(0.855510685714286+0.0759181142857143)) * 4.87867873459456%</f>
        <v>3.9764723802424157E-3</v>
      </c>
      <c r="D2714" t="s">
        <v>256</v>
      </c>
      <c r="E2714" t="s">
        <v>463</v>
      </c>
      <c r="F2714" t="s">
        <v>464</v>
      </c>
      <c r="G2714" t="s">
        <v>245</v>
      </c>
    </row>
    <row r="2715" spans="1:7" hidden="1" x14ac:dyDescent="0.2">
      <c r="A2715" t="s">
        <v>77</v>
      </c>
      <c r="B2715" t="s">
        <v>113</v>
      </c>
      <c r="C2715" s="2">
        <f>(0.855510685714286/(0.855510685714286+0.0759181142857143)) * 0.570715075088942%</f>
        <v>5.2419771134070677E-3</v>
      </c>
      <c r="D2715" t="s">
        <v>242</v>
      </c>
      <c r="E2715" t="s">
        <v>465</v>
      </c>
      <c r="F2715" t="s">
        <v>464</v>
      </c>
      <c r="G2715" t="s">
        <v>245</v>
      </c>
    </row>
    <row r="2716" spans="1:7" hidden="1" x14ac:dyDescent="0.2">
      <c r="A2716" t="s">
        <v>77</v>
      </c>
      <c r="B2716" t="s">
        <v>113</v>
      </c>
      <c r="C2716" s="2">
        <f>(0.0759181142857143/(0.855510685714286+0.0759181142857143)) * 0.570715075088942%</f>
        <v>4.6517363748235297E-4</v>
      </c>
      <c r="D2716" t="s">
        <v>256</v>
      </c>
      <c r="E2716" t="s">
        <v>463</v>
      </c>
      <c r="F2716" t="s">
        <v>464</v>
      </c>
      <c r="G2716" t="s">
        <v>245</v>
      </c>
    </row>
    <row r="2717" spans="1:7" hidden="1" x14ac:dyDescent="0.2">
      <c r="A2717" t="s">
        <v>77</v>
      </c>
      <c r="B2717" t="s">
        <v>115</v>
      </c>
      <c r="C2717" s="2">
        <f>(0.855510685714286/(0.855510685714286+0.0759181142857143)) * 3.39370501435238%</f>
        <v>3.1170937638396134E-2</v>
      </c>
      <c r="D2717" t="s">
        <v>242</v>
      </c>
      <c r="E2717" t="s">
        <v>465</v>
      </c>
      <c r="F2717" t="s">
        <v>464</v>
      </c>
      <c r="G2717" t="s">
        <v>245</v>
      </c>
    </row>
    <row r="2718" spans="1:7" hidden="1" x14ac:dyDescent="0.2">
      <c r="A2718" t="s">
        <v>77</v>
      </c>
      <c r="B2718" t="s">
        <v>115</v>
      </c>
      <c r="C2718" s="2">
        <f>(0.0759181142857143/(0.855510685714286+0.0759181142857143)) * 3.39370501435238%</f>
        <v>2.7661125051276661E-3</v>
      </c>
      <c r="D2718" t="s">
        <v>256</v>
      </c>
      <c r="E2718" t="s">
        <v>463</v>
      </c>
      <c r="F2718" t="s">
        <v>464</v>
      </c>
      <c r="G2718" t="s">
        <v>245</v>
      </c>
    </row>
    <row r="2719" spans="1:7" hidden="1" x14ac:dyDescent="0.2">
      <c r="A2719" t="s">
        <v>612</v>
      </c>
      <c r="B2719" t="s">
        <v>83</v>
      </c>
      <c r="C2719" s="4">
        <f>(0.185837691933674/(0.185837691933674+0.337727962317284)) * 33.3949224022984%</f>
        <v>0.11853404155064326</v>
      </c>
      <c r="D2719" t="s">
        <v>308</v>
      </c>
      <c r="E2719" t="s">
        <v>463</v>
      </c>
      <c r="F2719" t="s">
        <v>467</v>
      </c>
      <c r="G2719" t="s">
        <v>245</v>
      </c>
    </row>
    <row r="2720" spans="1:7" hidden="1" x14ac:dyDescent="0.2">
      <c r="A2720" t="s">
        <v>612</v>
      </c>
      <c r="B2720" t="s">
        <v>83</v>
      </c>
      <c r="C2720" s="4">
        <f>(0.337727962317284/(0.185837691933674+0.337727962317284)) * 33.3949224022984%</f>
        <v>0.2154151824723407</v>
      </c>
      <c r="D2720" t="s">
        <v>308</v>
      </c>
      <c r="E2720" t="s">
        <v>468</v>
      </c>
      <c r="F2720" t="s">
        <v>467</v>
      </c>
      <c r="G2720" t="s">
        <v>245</v>
      </c>
    </row>
    <row r="2721" spans="1:8" hidden="1" x14ac:dyDescent="0.2">
      <c r="A2721" t="s">
        <v>612</v>
      </c>
      <c r="B2721" t="s">
        <v>85</v>
      </c>
      <c r="C2721" s="4">
        <v>7.6345245551917833E-4</v>
      </c>
      <c r="D2721" t="s">
        <v>256</v>
      </c>
      <c r="E2721" t="s">
        <v>463</v>
      </c>
      <c r="F2721" t="s">
        <v>467</v>
      </c>
      <c r="G2721" t="s">
        <v>245</v>
      </c>
    </row>
    <row r="2722" spans="1:8" hidden="1" x14ac:dyDescent="0.2">
      <c r="A2722" t="s">
        <v>612</v>
      </c>
      <c r="B2722" t="s">
        <v>97</v>
      </c>
      <c r="C2722" s="4">
        <v>1.7715131611696581E-2</v>
      </c>
      <c r="D2722" t="s">
        <v>309</v>
      </c>
      <c r="E2722" t="s">
        <v>469</v>
      </c>
      <c r="F2722" t="s">
        <v>467</v>
      </c>
      <c r="G2722" t="s">
        <v>245</v>
      </c>
    </row>
    <row r="2723" spans="1:8" hidden="1" x14ac:dyDescent="0.2">
      <c r="A2723" t="s">
        <v>612</v>
      </c>
      <c r="B2723" t="s">
        <v>102</v>
      </c>
      <c r="C2723" s="4">
        <v>8.8111144622331945E-3</v>
      </c>
      <c r="D2723" t="s">
        <v>256</v>
      </c>
      <c r="E2723" t="s">
        <v>463</v>
      </c>
      <c r="F2723" t="s">
        <v>467</v>
      </c>
      <c r="G2723" t="s">
        <v>245</v>
      </c>
    </row>
    <row r="2724" spans="1:8" hidden="1" x14ac:dyDescent="0.2">
      <c r="A2724" t="s">
        <v>612</v>
      </c>
      <c r="B2724" t="s">
        <v>198</v>
      </c>
      <c r="C2724" s="4">
        <v>8.1877081492693293E-2</v>
      </c>
      <c r="D2724" t="s">
        <v>256</v>
      </c>
      <c r="E2724" t="s">
        <v>463</v>
      </c>
      <c r="F2724" t="s">
        <v>467</v>
      </c>
      <c r="G2724" t="s">
        <v>245</v>
      </c>
    </row>
    <row r="2725" spans="1:8" hidden="1" x14ac:dyDescent="0.2">
      <c r="A2725" t="s">
        <v>612</v>
      </c>
      <c r="B2725" t="s">
        <v>141</v>
      </c>
      <c r="C2725" s="4">
        <v>9.4788691640009266E-3</v>
      </c>
      <c r="D2725" t="s">
        <v>256</v>
      </c>
      <c r="E2725" t="s">
        <v>463</v>
      </c>
      <c r="F2725" t="s">
        <v>467</v>
      </c>
      <c r="G2725" t="s">
        <v>245</v>
      </c>
    </row>
    <row r="2726" spans="1:8" hidden="1" x14ac:dyDescent="0.2">
      <c r="A2726" t="s">
        <v>612</v>
      </c>
      <c r="B2726" t="s">
        <v>103</v>
      </c>
      <c r="C2726" s="4">
        <v>8.7844947810784106E-3</v>
      </c>
      <c r="D2726" t="s">
        <v>256</v>
      </c>
      <c r="E2726" t="s">
        <v>463</v>
      </c>
      <c r="F2726" t="s">
        <v>467</v>
      </c>
      <c r="G2726" t="s">
        <v>245</v>
      </c>
    </row>
    <row r="2727" spans="1:8" hidden="1" x14ac:dyDescent="0.2">
      <c r="A2727" t="s">
        <v>612</v>
      </c>
      <c r="B2727" t="s">
        <v>105</v>
      </c>
      <c r="C2727" s="4">
        <v>9.2418209033175835E-3</v>
      </c>
      <c r="D2727" t="s">
        <v>256</v>
      </c>
      <c r="E2727" t="s">
        <v>463</v>
      </c>
      <c r="F2727" t="s">
        <v>467</v>
      </c>
      <c r="G2727" t="s">
        <v>245</v>
      </c>
    </row>
    <row r="2728" spans="1:8" hidden="1" x14ac:dyDescent="0.2">
      <c r="A2728" t="s">
        <v>612</v>
      </c>
      <c r="B2728" t="s">
        <v>109</v>
      </c>
      <c r="C2728" s="4">
        <v>0.16809530058810862</v>
      </c>
      <c r="D2728" t="s">
        <v>256</v>
      </c>
      <c r="E2728" t="s">
        <v>463</v>
      </c>
      <c r="F2728" t="s">
        <v>467</v>
      </c>
      <c r="G2728" t="s">
        <v>245</v>
      </c>
    </row>
    <row r="2729" spans="1:8" hidden="1" x14ac:dyDescent="0.2">
      <c r="A2729" t="s">
        <v>612</v>
      </c>
      <c r="B2729" t="s">
        <v>137</v>
      </c>
      <c r="C2729" s="4">
        <v>0.12849320093413785</v>
      </c>
      <c r="D2729" t="s">
        <v>322</v>
      </c>
      <c r="E2729" t="s">
        <v>466</v>
      </c>
      <c r="F2729" t="s">
        <v>467</v>
      </c>
      <c r="G2729" t="s">
        <v>245</v>
      </c>
    </row>
    <row r="2730" spans="1:8" hidden="1" x14ac:dyDescent="0.2">
      <c r="A2730" t="s">
        <v>612</v>
      </c>
      <c r="B2730" t="s">
        <v>211</v>
      </c>
      <c r="C2730" s="4">
        <v>2.4824183660892949E-3</v>
      </c>
      <c r="D2730" t="s">
        <v>256</v>
      </c>
      <c r="E2730" t="s">
        <v>463</v>
      </c>
      <c r="F2730" t="s">
        <v>467</v>
      </c>
      <c r="G2730" t="s">
        <v>245</v>
      </c>
    </row>
    <row r="2731" spans="1:8" hidden="1" x14ac:dyDescent="0.2">
      <c r="A2731" t="s">
        <v>612</v>
      </c>
      <c r="B2731" t="s">
        <v>122</v>
      </c>
      <c r="C2731" s="4">
        <v>0.13713900717639985</v>
      </c>
      <c r="D2731" t="s">
        <v>256</v>
      </c>
      <c r="E2731" t="s">
        <v>463</v>
      </c>
      <c r="F2731" t="s">
        <v>467</v>
      </c>
      <c r="G2731" t="s">
        <v>245</v>
      </c>
    </row>
    <row r="2732" spans="1:8" hidden="1" x14ac:dyDescent="0.2">
      <c r="A2732" t="s">
        <v>612</v>
      </c>
      <c r="B2732" t="s">
        <v>113</v>
      </c>
      <c r="C2732" s="4">
        <v>9.3168884041740729E-2</v>
      </c>
      <c r="D2732" t="s">
        <v>256</v>
      </c>
      <c r="E2732" t="s">
        <v>463</v>
      </c>
      <c r="F2732" t="s">
        <v>467</v>
      </c>
      <c r="G2732" t="s">
        <v>245</v>
      </c>
    </row>
    <row r="2733" spans="1:8" hidden="1" x14ac:dyDescent="0.2">
      <c r="A2733" t="s">
        <v>78</v>
      </c>
      <c r="B2733" t="s">
        <v>83</v>
      </c>
      <c r="C2733" s="4">
        <v>5.5796098736776322E-5</v>
      </c>
      <c r="D2733" t="s">
        <v>256</v>
      </c>
      <c r="E2733" t="s">
        <v>425</v>
      </c>
      <c r="F2733" t="s">
        <v>426</v>
      </c>
      <c r="G2733" t="s">
        <v>245</v>
      </c>
      <c r="H2733" t="s">
        <v>424</v>
      </c>
    </row>
    <row r="2734" spans="1:8" hidden="1" x14ac:dyDescent="0.2">
      <c r="A2734" t="s">
        <v>78</v>
      </c>
      <c r="B2734" t="s">
        <v>181</v>
      </c>
      <c r="C2734" s="4">
        <v>1.030665535865732E-2</v>
      </c>
      <c r="D2734" t="s">
        <v>256</v>
      </c>
      <c r="E2734" t="s">
        <v>425</v>
      </c>
      <c r="F2734" t="s">
        <v>426</v>
      </c>
      <c r="G2734" t="s">
        <v>245</v>
      </c>
    </row>
    <row r="2735" spans="1:8" hidden="1" x14ac:dyDescent="0.2">
      <c r="A2735" t="s">
        <v>78</v>
      </c>
      <c r="B2735" t="s">
        <v>144</v>
      </c>
      <c r="C2735" s="4">
        <v>1.083783421863143E-2</v>
      </c>
      <c r="D2735" t="s">
        <v>256</v>
      </c>
      <c r="E2735" t="s">
        <v>425</v>
      </c>
      <c r="F2735" t="s">
        <v>426</v>
      </c>
      <c r="G2735" t="s">
        <v>245</v>
      </c>
    </row>
    <row r="2736" spans="1:8" hidden="1" x14ac:dyDescent="0.2">
      <c r="A2736" t="s">
        <v>78</v>
      </c>
      <c r="B2736" t="s">
        <v>85</v>
      </c>
      <c r="C2736" s="4">
        <v>4.4882381823862878E-3</v>
      </c>
      <c r="D2736" t="s">
        <v>256</v>
      </c>
      <c r="E2736" t="s">
        <v>425</v>
      </c>
      <c r="F2736" t="s">
        <v>426</v>
      </c>
      <c r="G2736" t="s">
        <v>245</v>
      </c>
    </row>
    <row r="2737" spans="1:7" hidden="1" x14ac:dyDescent="0.2">
      <c r="A2737" t="s">
        <v>78</v>
      </c>
      <c r="B2737" t="s">
        <v>187</v>
      </c>
      <c r="C2737" s="4">
        <v>1.798866223273669E-3</v>
      </c>
      <c r="D2737" t="s">
        <v>256</v>
      </c>
      <c r="E2737" t="s">
        <v>425</v>
      </c>
      <c r="F2737" t="s">
        <v>426</v>
      </c>
      <c r="G2737" t="s">
        <v>245</v>
      </c>
    </row>
    <row r="2738" spans="1:7" hidden="1" x14ac:dyDescent="0.2">
      <c r="A2738" t="s">
        <v>78</v>
      </c>
      <c r="B2738" t="s">
        <v>86</v>
      </c>
      <c r="C2738" s="4">
        <v>0.80315582734455204</v>
      </c>
      <c r="D2738" t="s">
        <v>254</v>
      </c>
      <c r="E2738" t="s">
        <v>425</v>
      </c>
      <c r="F2738" t="s">
        <v>426</v>
      </c>
      <c r="G2738" t="s">
        <v>245</v>
      </c>
    </row>
    <row r="2739" spans="1:7" hidden="1" x14ac:dyDescent="0.2">
      <c r="A2739" t="s">
        <v>78</v>
      </c>
      <c r="B2739" t="s">
        <v>159</v>
      </c>
      <c r="C2739" s="4">
        <v>1.986341115029237E-3</v>
      </c>
      <c r="D2739" t="s">
        <v>256</v>
      </c>
      <c r="E2739" t="s">
        <v>425</v>
      </c>
      <c r="F2739" t="s">
        <v>426</v>
      </c>
      <c r="G2739" t="s">
        <v>245</v>
      </c>
    </row>
    <row r="2740" spans="1:7" hidden="1" x14ac:dyDescent="0.2">
      <c r="A2740" t="s">
        <v>78</v>
      </c>
      <c r="B2740" t="s">
        <v>149</v>
      </c>
      <c r="C2740" s="4">
        <v>9.958487702539839E-3</v>
      </c>
      <c r="D2740" t="s">
        <v>256</v>
      </c>
      <c r="E2740" t="s">
        <v>425</v>
      </c>
      <c r="F2740" t="s">
        <v>426</v>
      </c>
      <c r="G2740" t="s">
        <v>245</v>
      </c>
    </row>
    <row r="2741" spans="1:7" hidden="1" x14ac:dyDescent="0.2">
      <c r="A2741" t="s">
        <v>78</v>
      </c>
      <c r="B2741" t="s">
        <v>170</v>
      </c>
      <c r="C2741" s="4">
        <v>1.115921974735526E-3</v>
      </c>
      <c r="D2741" t="s">
        <v>256</v>
      </c>
      <c r="E2741" t="s">
        <v>425</v>
      </c>
      <c r="F2741" t="s">
        <v>426</v>
      </c>
      <c r="G2741" t="s">
        <v>245</v>
      </c>
    </row>
    <row r="2742" spans="1:7" hidden="1" x14ac:dyDescent="0.2">
      <c r="A2742" t="s">
        <v>78</v>
      </c>
      <c r="B2742" t="s">
        <v>150</v>
      </c>
      <c r="C2742" s="4">
        <v>2.9460340133017899E-4</v>
      </c>
      <c r="D2742" t="s">
        <v>256</v>
      </c>
      <c r="E2742" t="s">
        <v>425</v>
      </c>
      <c r="F2742" t="s">
        <v>426</v>
      </c>
      <c r="G2742" t="s">
        <v>245</v>
      </c>
    </row>
    <row r="2743" spans="1:7" hidden="1" x14ac:dyDescent="0.2">
      <c r="A2743" t="s">
        <v>78</v>
      </c>
      <c r="B2743" t="s">
        <v>173</v>
      </c>
      <c r="C2743" s="4">
        <v>3.901263223675401E-3</v>
      </c>
      <c r="D2743" t="s">
        <v>256</v>
      </c>
      <c r="E2743" t="s">
        <v>425</v>
      </c>
      <c r="F2743" t="s">
        <v>426</v>
      </c>
      <c r="G2743" t="s">
        <v>245</v>
      </c>
    </row>
    <row r="2744" spans="1:7" hidden="1" x14ac:dyDescent="0.2">
      <c r="A2744" t="s">
        <v>78</v>
      </c>
      <c r="B2744" t="s">
        <v>174</v>
      </c>
      <c r="C2744" s="4">
        <v>2.1961344462795161E-3</v>
      </c>
      <c r="D2744" t="s">
        <v>256</v>
      </c>
      <c r="E2744" t="s">
        <v>425</v>
      </c>
      <c r="F2744" t="s">
        <v>426</v>
      </c>
      <c r="G2744" t="s">
        <v>245</v>
      </c>
    </row>
    <row r="2745" spans="1:7" hidden="1" x14ac:dyDescent="0.2">
      <c r="A2745" t="s">
        <v>78</v>
      </c>
      <c r="B2745" t="s">
        <v>203</v>
      </c>
      <c r="C2745" s="4">
        <v>2.7674864973441059E-4</v>
      </c>
      <c r="D2745" t="s">
        <v>256</v>
      </c>
      <c r="E2745" t="s">
        <v>425</v>
      </c>
      <c r="F2745" t="s">
        <v>426</v>
      </c>
      <c r="G2745" t="s">
        <v>245</v>
      </c>
    </row>
    <row r="2746" spans="1:7" hidden="1" x14ac:dyDescent="0.2">
      <c r="A2746" t="s">
        <v>78</v>
      </c>
      <c r="B2746" t="s">
        <v>178</v>
      </c>
      <c r="C2746" s="4">
        <v>6.5593893674954244E-3</v>
      </c>
      <c r="D2746" t="s">
        <v>256</v>
      </c>
      <c r="E2746" t="s">
        <v>425</v>
      </c>
      <c r="F2746" t="s">
        <v>426</v>
      </c>
      <c r="G2746" t="s">
        <v>245</v>
      </c>
    </row>
    <row r="2747" spans="1:7" hidden="1" x14ac:dyDescent="0.2">
      <c r="A2747" t="s">
        <v>78</v>
      </c>
      <c r="B2747" t="s">
        <v>107</v>
      </c>
      <c r="C2747" s="4">
        <v>2.913002722849618E-2</v>
      </c>
      <c r="D2747" t="s">
        <v>256</v>
      </c>
      <c r="E2747" t="s">
        <v>425</v>
      </c>
      <c r="F2747" t="s">
        <v>426</v>
      </c>
      <c r="G2747" t="s">
        <v>245</v>
      </c>
    </row>
    <row r="2748" spans="1:7" hidden="1" x14ac:dyDescent="0.2">
      <c r="A2748" t="s">
        <v>78</v>
      </c>
      <c r="B2748" t="s">
        <v>204</v>
      </c>
      <c r="C2748" s="4">
        <v>1.2292996473686559E-2</v>
      </c>
      <c r="D2748" t="s">
        <v>256</v>
      </c>
      <c r="E2748" t="s">
        <v>425</v>
      </c>
      <c r="F2748" t="s">
        <v>426</v>
      </c>
      <c r="G2748" t="s">
        <v>245</v>
      </c>
    </row>
    <row r="2749" spans="1:7" hidden="1" x14ac:dyDescent="0.2">
      <c r="A2749" t="s">
        <v>78</v>
      </c>
      <c r="B2749" t="s">
        <v>121</v>
      </c>
      <c r="C2749" s="4">
        <v>6.0594563228139088E-3</v>
      </c>
      <c r="D2749" t="s">
        <v>256</v>
      </c>
      <c r="E2749" t="s">
        <v>425</v>
      </c>
      <c r="F2749" t="s">
        <v>426</v>
      </c>
      <c r="G2749" t="s">
        <v>245</v>
      </c>
    </row>
    <row r="2750" spans="1:7" hidden="1" x14ac:dyDescent="0.2">
      <c r="A2750" t="s">
        <v>78</v>
      </c>
      <c r="B2750" t="s">
        <v>215</v>
      </c>
      <c r="C2750" s="4">
        <v>7.1419006383073699E-4</v>
      </c>
      <c r="D2750" t="s">
        <v>256</v>
      </c>
      <c r="E2750" t="s">
        <v>425</v>
      </c>
      <c r="F2750" t="s">
        <v>426</v>
      </c>
      <c r="G2750" t="s">
        <v>245</v>
      </c>
    </row>
    <row r="2751" spans="1:7" hidden="1" x14ac:dyDescent="0.2">
      <c r="A2751" t="s">
        <v>78</v>
      </c>
      <c r="B2751" t="s">
        <v>142</v>
      </c>
      <c r="C2751" s="4">
        <v>7.1419006383073699E-4</v>
      </c>
      <c r="D2751" t="s">
        <v>256</v>
      </c>
      <c r="E2751" t="s">
        <v>425</v>
      </c>
      <c r="F2751" t="s">
        <v>426</v>
      </c>
      <c r="G2751" t="s">
        <v>245</v>
      </c>
    </row>
    <row r="2752" spans="1:7" hidden="1" x14ac:dyDescent="0.2">
      <c r="A2752" t="s">
        <v>78</v>
      </c>
      <c r="B2752" t="s">
        <v>140</v>
      </c>
      <c r="C2752" s="4">
        <v>5.825112708119448E-3</v>
      </c>
      <c r="D2752" t="s">
        <v>256</v>
      </c>
      <c r="E2752" t="s">
        <v>425</v>
      </c>
      <c r="F2752" t="s">
        <v>426</v>
      </c>
      <c r="G2752" t="s">
        <v>245</v>
      </c>
    </row>
    <row r="2753" spans="1:7" hidden="1" x14ac:dyDescent="0.2">
      <c r="A2753" t="s">
        <v>78</v>
      </c>
      <c r="B2753" t="s">
        <v>180</v>
      </c>
      <c r="C2753" s="4">
        <v>6.9187162433602639E-4</v>
      </c>
      <c r="D2753" t="s">
        <v>256</v>
      </c>
      <c r="E2753" t="s">
        <v>425</v>
      </c>
      <c r="F2753" t="s">
        <v>426</v>
      </c>
      <c r="G2753" t="s">
        <v>245</v>
      </c>
    </row>
    <row r="2754" spans="1:7" hidden="1" x14ac:dyDescent="0.2">
      <c r="A2754" t="s">
        <v>78</v>
      </c>
      <c r="B2754" t="s">
        <v>115</v>
      </c>
      <c r="C2754" s="4">
        <v>8.5408204258358253E-2</v>
      </c>
      <c r="D2754" t="s">
        <v>256</v>
      </c>
      <c r="E2754" t="s">
        <v>425</v>
      </c>
      <c r="F2754" t="s">
        <v>426</v>
      </c>
      <c r="G2754" t="s">
        <v>245</v>
      </c>
    </row>
    <row r="2755" spans="1:7" hidden="1" x14ac:dyDescent="0.2">
      <c r="A2755" t="s">
        <v>78</v>
      </c>
      <c r="B2755" t="s">
        <v>158</v>
      </c>
      <c r="C2755" s="4">
        <v>2.2318439494710528E-3</v>
      </c>
      <c r="D2755" t="s">
        <v>256</v>
      </c>
      <c r="E2755" t="s">
        <v>425</v>
      </c>
      <c r="F2755" t="s">
        <v>426</v>
      </c>
      <c r="G2755" t="s">
        <v>245</v>
      </c>
    </row>
    <row r="2756" spans="1:7" hidden="1" x14ac:dyDescent="0.2">
      <c r="A2756" t="s">
        <v>79</v>
      </c>
      <c r="B2756" t="s">
        <v>83</v>
      </c>
      <c r="C2756" s="4">
        <f>(0.144688166399844/(0.144688166399844+0.3663259998074)) * 10.9195729267414%</f>
        <v>3.0917596597485369E-2</v>
      </c>
      <c r="D2756" t="s">
        <v>256</v>
      </c>
      <c r="E2756" t="s">
        <v>427</v>
      </c>
      <c r="F2756" t="s">
        <v>429</v>
      </c>
      <c r="G2756" s="4" t="s">
        <v>245</v>
      </c>
    </row>
    <row r="2757" spans="1:7" hidden="1" x14ac:dyDescent="0.2">
      <c r="A2757" t="s">
        <v>79</v>
      </c>
      <c r="B2757" t="s">
        <v>83</v>
      </c>
      <c r="C2757" s="4">
        <f>(0.3663259998074/(0.144688166399844+0.3663259998074)) * 10.9195729267414%</f>
        <v>7.8278132669928613E-2</v>
      </c>
      <c r="D2757" t="s">
        <v>256</v>
      </c>
      <c r="E2757" t="s">
        <v>428</v>
      </c>
      <c r="F2757" t="s">
        <v>429</v>
      </c>
      <c r="G2757" s="4" t="s">
        <v>245</v>
      </c>
    </row>
    <row r="2758" spans="1:7" hidden="1" x14ac:dyDescent="0.2">
      <c r="A2758" t="s">
        <v>79</v>
      </c>
      <c r="B2758" t="s">
        <v>85</v>
      </c>
      <c r="C2758" s="4">
        <f>(0.144688166399844/(0.144688166399844+0.3663259998074)) * 0.0166884754698375%</f>
        <v>4.7251623837768544E-5</v>
      </c>
      <c r="D2758" t="s">
        <v>256</v>
      </c>
      <c r="E2758" t="s">
        <v>427</v>
      </c>
      <c r="F2758" t="s">
        <v>429</v>
      </c>
      <c r="G2758" s="4" t="s">
        <v>245</v>
      </c>
    </row>
    <row r="2759" spans="1:7" hidden="1" x14ac:dyDescent="0.2">
      <c r="A2759" t="s">
        <v>79</v>
      </c>
      <c r="B2759" t="s">
        <v>85</v>
      </c>
      <c r="C2759" s="4">
        <f>(0.3663259998074/(0.144688166399844+0.3663259998074)) * 0.0166884754698375%</f>
        <v>1.1963313086060645E-4</v>
      </c>
      <c r="D2759" t="s">
        <v>256</v>
      </c>
      <c r="E2759" t="s">
        <v>428</v>
      </c>
      <c r="F2759" t="s">
        <v>429</v>
      </c>
      <c r="G2759" s="4" t="s">
        <v>245</v>
      </c>
    </row>
    <row r="2760" spans="1:7" hidden="1" x14ac:dyDescent="0.2">
      <c r="A2760" t="s">
        <v>79</v>
      </c>
      <c r="B2760" t="s">
        <v>116</v>
      </c>
      <c r="C2760" s="4">
        <f>(0.100925868687875/(0.100925868687875+0.388059965104881)) * 13.3981908175456%</f>
        <v>2.7653644618257076E-2</v>
      </c>
      <c r="D2760" t="s">
        <v>253</v>
      </c>
      <c r="E2760" t="s">
        <v>427</v>
      </c>
      <c r="F2760" t="s">
        <v>429</v>
      </c>
      <c r="G2760" s="4" t="s">
        <v>245</v>
      </c>
    </row>
    <row r="2761" spans="1:7" hidden="1" x14ac:dyDescent="0.2">
      <c r="A2761" t="s">
        <v>79</v>
      </c>
      <c r="B2761" t="s">
        <v>116</v>
      </c>
      <c r="C2761" s="4">
        <f>(0.388059965104881/(0.100925868687875+0.388059965104881)) * 13.3981908175456%</f>
        <v>0.1063282635571989</v>
      </c>
      <c r="D2761" t="s">
        <v>253</v>
      </c>
      <c r="E2761" t="s">
        <v>428</v>
      </c>
      <c r="F2761" t="s">
        <v>429</v>
      </c>
      <c r="G2761" s="4" t="s">
        <v>245</v>
      </c>
    </row>
    <row r="2762" spans="1:7" hidden="1" x14ac:dyDescent="0.2">
      <c r="A2762" t="s">
        <v>79</v>
      </c>
      <c r="B2762" t="s">
        <v>86</v>
      </c>
      <c r="C2762" s="4">
        <f>(0.144688166399844/(0.144688166399844+0.3663259998074)) * 3.50154558039863%</f>
        <v>9.9142498015972486E-3</v>
      </c>
      <c r="D2762" t="s">
        <v>256</v>
      </c>
      <c r="E2762" t="s">
        <v>427</v>
      </c>
      <c r="F2762" t="s">
        <v>429</v>
      </c>
      <c r="G2762" s="4" t="s">
        <v>245</v>
      </c>
    </row>
    <row r="2763" spans="1:7" hidden="1" x14ac:dyDescent="0.2">
      <c r="A2763" t="s">
        <v>79</v>
      </c>
      <c r="B2763" t="s">
        <v>86</v>
      </c>
      <c r="C2763" s="4">
        <f>(0.3663259998074/(0.144688166399844+0.3663259998074)) * 3.50154558039863%</f>
        <v>2.5101206002389048E-2</v>
      </c>
      <c r="D2763" t="s">
        <v>256</v>
      </c>
      <c r="E2763" t="s">
        <v>428</v>
      </c>
      <c r="F2763" t="s">
        <v>429</v>
      </c>
      <c r="G2763" s="4" t="s">
        <v>245</v>
      </c>
    </row>
    <row r="2764" spans="1:7" hidden="1" x14ac:dyDescent="0.2">
      <c r="A2764" t="s">
        <v>79</v>
      </c>
      <c r="B2764" t="s">
        <v>217</v>
      </c>
      <c r="C2764" s="4">
        <f>(0.144688166399844/(0.144688166399844+0.3663259998074)) * 0.0690296030797823%</f>
        <v>1.9544989860167874E-4</v>
      </c>
      <c r="D2764" t="s">
        <v>256</v>
      </c>
      <c r="E2764" t="s">
        <v>427</v>
      </c>
      <c r="F2764" t="s">
        <v>429</v>
      </c>
      <c r="G2764" s="4" t="s">
        <v>245</v>
      </c>
    </row>
    <row r="2765" spans="1:7" hidden="1" x14ac:dyDescent="0.2">
      <c r="A2765" t="s">
        <v>79</v>
      </c>
      <c r="B2765" t="s">
        <v>217</v>
      </c>
      <c r="C2765" s="4">
        <f>(0.3663259998074/(0.144688166399844+0.3663259998074)) * 0.0690296030797823%</f>
        <v>4.9484613219614418E-4</v>
      </c>
      <c r="D2765" t="s">
        <v>256</v>
      </c>
      <c r="E2765" t="s">
        <v>428</v>
      </c>
      <c r="F2765" t="s">
        <v>429</v>
      </c>
      <c r="G2765" s="4" t="s">
        <v>245</v>
      </c>
    </row>
    <row r="2766" spans="1:7" hidden="1" x14ac:dyDescent="0.2">
      <c r="A2766" t="s">
        <v>79</v>
      </c>
      <c r="B2766" t="s">
        <v>117</v>
      </c>
      <c r="C2766" s="4">
        <f>(0.144688166399844/(0.144688166399844+0.3663259998074)) * 0.0250327132047562%</f>
        <v>7.0877435756652678E-5</v>
      </c>
      <c r="D2766" t="s">
        <v>256</v>
      </c>
      <c r="E2766" t="s">
        <v>427</v>
      </c>
      <c r="F2766" t="s">
        <v>429</v>
      </c>
      <c r="G2766" s="4" t="s">
        <v>245</v>
      </c>
    </row>
    <row r="2767" spans="1:7" hidden="1" x14ac:dyDescent="0.2">
      <c r="A2767" t="s">
        <v>79</v>
      </c>
      <c r="B2767" t="s">
        <v>117</v>
      </c>
      <c r="C2767" s="4">
        <f>(0.3663259998074/(0.144688166399844+0.3663259998074)) * 0.0250327132047562%</f>
        <v>1.7944969629090933E-4</v>
      </c>
      <c r="D2767" t="s">
        <v>256</v>
      </c>
      <c r="E2767" t="s">
        <v>428</v>
      </c>
      <c r="F2767" t="s">
        <v>429</v>
      </c>
      <c r="G2767" s="4" t="s">
        <v>245</v>
      </c>
    </row>
    <row r="2768" spans="1:7" hidden="1" x14ac:dyDescent="0.2">
      <c r="A2768" t="s">
        <v>79</v>
      </c>
      <c r="B2768" t="s">
        <v>97</v>
      </c>
      <c r="C2768" s="4">
        <f>(0.144688166399844/(0.144688166399844+0.3663259998074)) * 0.821907416889496%</f>
        <v>2.3271424740100985E-3</v>
      </c>
      <c r="D2768" t="s">
        <v>256</v>
      </c>
      <c r="E2768" t="s">
        <v>427</v>
      </c>
      <c r="F2768" t="s">
        <v>429</v>
      </c>
      <c r="G2768" s="4" t="s">
        <v>245</v>
      </c>
    </row>
    <row r="2769" spans="1:7" hidden="1" x14ac:dyDescent="0.2">
      <c r="A2769" t="s">
        <v>79</v>
      </c>
      <c r="B2769" t="s">
        <v>97</v>
      </c>
      <c r="C2769" s="4">
        <f>(0.3663259998074/(0.144688166399844+0.3663259998074)) * 0.821907416889496%</f>
        <v>5.891931694884861E-3</v>
      </c>
      <c r="D2769" t="s">
        <v>256</v>
      </c>
      <c r="E2769" t="s">
        <v>428</v>
      </c>
      <c r="F2769" t="s">
        <v>429</v>
      </c>
      <c r="G2769" s="4" t="s">
        <v>245</v>
      </c>
    </row>
    <row r="2770" spans="1:7" hidden="1" x14ac:dyDescent="0.2">
      <c r="A2770" t="s">
        <v>79</v>
      </c>
      <c r="B2770" t="s">
        <v>99</v>
      </c>
      <c r="C2770" s="4">
        <f>(0.144688166399844/(0.144688166399844+0.3663259998074)) * 0.122887864823349%</f>
        <v>3.4794377553265966E-4</v>
      </c>
      <c r="D2770" t="s">
        <v>256</v>
      </c>
      <c r="E2770" t="s">
        <v>427</v>
      </c>
      <c r="F2770" t="s">
        <v>429</v>
      </c>
      <c r="G2770" s="4" t="s">
        <v>245</v>
      </c>
    </row>
    <row r="2771" spans="1:7" hidden="1" x14ac:dyDescent="0.2">
      <c r="A2771" t="s">
        <v>79</v>
      </c>
      <c r="B2771" t="s">
        <v>99</v>
      </c>
      <c r="C2771" s="4">
        <f>(0.3663259998074/(0.144688166399844+0.3663259998074)) * 0.122887864823349%</f>
        <v>8.8093487270083021E-4</v>
      </c>
      <c r="D2771" t="s">
        <v>256</v>
      </c>
      <c r="E2771" t="s">
        <v>428</v>
      </c>
      <c r="F2771" t="s">
        <v>429</v>
      </c>
      <c r="G2771" s="4" t="s">
        <v>245</v>
      </c>
    </row>
    <row r="2772" spans="1:7" hidden="1" x14ac:dyDescent="0.2">
      <c r="A2772" t="s">
        <v>79</v>
      </c>
      <c r="B2772" t="s">
        <v>102</v>
      </c>
      <c r="C2772" s="4">
        <f>(0.144688166399844/(0.144688166399844+0.3663259998074)) * 41.391212000531%</f>
        <v>0.11719476612308349</v>
      </c>
      <c r="D2772" t="s">
        <v>256</v>
      </c>
      <c r="E2772" t="s">
        <v>427</v>
      </c>
      <c r="F2772" t="s">
        <v>429</v>
      </c>
      <c r="G2772" s="4" t="s">
        <v>245</v>
      </c>
    </row>
    <row r="2773" spans="1:7" hidden="1" x14ac:dyDescent="0.2">
      <c r="A2773" t="s">
        <v>79</v>
      </c>
      <c r="B2773" t="s">
        <v>102</v>
      </c>
      <c r="C2773" s="4">
        <f>(0.3663259998074/(0.144688166399844+0.3663259998074)) * 41.391212000531%</f>
        <v>0.29671735388222642</v>
      </c>
      <c r="D2773" t="s">
        <v>256</v>
      </c>
      <c r="E2773" t="s">
        <v>428</v>
      </c>
      <c r="F2773" t="s">
        <v>429</v>
      </c>
      <c r="G2773" s="4" t="s">
        <v>245</v>
      </c>
    </row>
    <row r="2774" spans="1:7" hidden="1" x14ac:dyDescent="0.2">
      <c r="A2774" t="s">
        <v>79</v>
      </c>
      <c r="B2774" t="s">
        <v>175</v>
      </c>
      <c r="C2774" s="4">
        <f>(0.144688166399844/(0.144688166399844+0.3663259998074)) * 9.85795831673968%</f>
        <v>2.7911748981078198E-2</v>
      </c>
      <c r="D2774" t="s">
        <v>256</v>
      </c>
      <c r="E2774" t="s">
        <v>427</v>
      </c>
      <c r="F2774" t="s">
        <v>429</v>
      </c>
      <c r="G2774" s="4" t="s">
        <v>245</v>
      </c>
    </row>
    <row r="2775" spans="1:7" hidden="1" x14ac:dyDescent="0.2">
      <c r="A2775" t="s">
        <v>79</v>
      </c>
      <c r="B2775" t="s">
        <v>175</v>
      </c>
      <c r="C2775" s="4">
        <f>(0.3663259998074/(0.144688166399844+0.3663259998074)) * 9.85795831673968%</f>
        <v>7.0667834186318598E-2</v>
      </c>
      <c r="D2775" t="s">
        <v>256</v>
      </c>
      <c r="E2775" t="s">
        <v>428</v>
      </c>
      <c r="F2775" t="s">
        <v>429</v>
      </c>
      <c r="G2775" s="4" t="s">
        <v>245</v>
      </c>
    </row>
    <row r="2776" spans="1:7" hidden="1" x14ac:dyDescent="0.2">
      <c r="A2776" t="s">
        <v>79</v>
      </c>
      <c r="B2776" t="s">
        <v>202</v>
      </c>
      <c r="C2776" s="4">
        <f>(0.144688166399844/(0.144688166399844+0.3663259998074)) * 5.51136902391383%</f>
        <v>1.5604848772423048E-2</v>
      </c>
      <c r="D2776" t="s">
        <v>256</v>
      </c>
      <c r="E2776" t="s">
        <v>427</v>
      </c>
      <c r="F2776" t="s">
        <v>429</v>
      </c>
      <c r="G2776" s="4" t="s">
        <v>245</v>
      </c>
    </row>
    <row r="2777" spans="1:7" hidden="1" x14ac:dyDescent="0.2">
      <c r="A2777" t="s">
        <v>79</v>
      </c>
      <c r="B2777" s="18" t="s">
        <v>202</v>
      </c>
      <c r="C2777" s="4">
        <f>(0.3663259998074/(0.144688166399844+0.3663259998074)) * 5.51136902391383%</f>
        <v>3.9508841466715246E-2</v>
      </c>
      <c r="D2777" t="s">
        <v>256</v>
      </c>
      <c r="E2777" t="s">
        <v>428</v>
      </c>
      <c r="F2777" t="s">
        <v>429</v>
      </c>
      <c r="G2777" s="4" t="s">
        <v>245</v>
      </c>
    </row>
    <row r="2778" spans="1:7" hidden="1" x14ac:dyDescent="0.2">
      <c r="A2778" t="s">
        <v>79</v>
      </c>
      <c r="B2778" t="s">
        <v>106</v>
      </c>
      <c r="C2778" s="4">
        <f>(0.144688166399844/(0.144688166399844+0.3663259998074)) * 0.0853387950162144%</f>
        <v>2.4162762189767979E-4</v>
      </c>
      <c r="D2778" t="s">
        <v>256</v>
      </c>
      <c r="E2778" t="s">
        <v>427</v>
      </c>
      <c r="F2778" t="s">
        <v>429</v>
      </c>
      <c r="G2778" s="4" t="s">
        <v>245</v>
      </c>
    </row>
    <row r="2779" spans="1:7" hidden="1" x14ac:dyDescent="0.2">
      <c r="A2779" t="s">
        <v>79</v>
      </c>
      <c r="B2779" t="s">
        <v>106</v>
      </c>
      <c r="C2779" s="4">
        <f>(0.3663259998074/(0.144688166399844+0.3663259998074)) * 0.0853387950162144%</f>
        <v>6.1176032826446415E-4</v>
      </c>
      <c r="D2779" t="s">
        <v>256</v>
      </c>
      <c r="E2779" t="s">
        <v>428</v>
      </c>
      <c r="F2779" t="s">
        <v>429</v>
      </c>
      <c r="G2779" s="4" t="s">
        <v>245</v>
      </c>
    </row>
    <row r="2780" spans="1:7" hidden="1" x14ac:dyDescent="0.2">
      <c r="A2780" t="s">
        <v>79</v>
      </c>
      <c r="B2780" t="s">
        <v>107</v>
      </c>
      <c r="C2780" s="4">
        <f>(0.144688166399844/(0.144688166399844+0.3663259998074)) * 5.39075686029091%</f>
        <v>1.5263348400140984E-2</v>
      </c>
      <c r="D2780" t="s">
        <v>256</v>
      </c>
      <c r="E2780" t="s">
        <v>427</v>
      </c>
      <c r="F2780" t="s">
        <v>429</v>
      </c>
      <c r="G2780" s="4" t="s">
        <v>245</v>
      </c>
    </row>
    <row r="2781" spans="1:7" hidden="1" x14ac:dyDescent="0.2">
      <c r="A2781" t="s">
        <v>79</v>
      </c>
      <c r="B2781" t="s">
        <v>107</v>
      </c>
      <c r="C2781" s="4">
        <f>(0.3663259998074/(0.144688166399844+0.3663259998074)) * 5.39075686029091%</f>
        <v>3.8644220202768108E-2</v>
      </c>
      <c r="D2781" t="s">
        <v>256</v>
      </c>
      <c r="E2781" t="s">
        <v>428</v>
      </c>
      <c r="F2781" t="s">
        <v>429</v>
      </c>
      <c r="G2781" s="4" t="s">
        <v>245</v>
      </c>
    </row>
    <row r="2782" spans="1:7" hidden="1" x14ac:dyDescent="0.2">
      <c r="A2782" t="s">
        <v>79</v>
      </c>
      <c r="B2782" t="s">
        <v>137</v>
      </c>
      <c r="C2782" s="4">
        <f>(0.144688166399844/(0.144688166399844+0.3663259998074)) * 0.377007832204965%</f>
        <v>1.0674571385168609E-3</v>
      </c>
      <c r="D2782" t="s">
        <v>256</v>
      </c>
      <c r="E2782" t="s">
        <v>427</v>
      </c>
      <c r="F2782" t="s">
        <v>429</v>
      </c>
      <c r="G2782" s="4" t="s">
        <v>245</v>
      </c>
    </row>
    <row r="2783" spans="1:7" hidden="1" x14ac:dyDescent="0.2">
      <c r="A2783" t="s">
        <v>79</v>
      </c>
      <c r="B2783" t="s">
        <v>137</v>
      </c>
      <c r="C2783" s="4">
        <f>(0.3663259998074/(0.144688166399844+0.3663259998074)) * 0.377007832204965%</f>
        <v>2.702621183532788E-3</v>
      </c>
      <c r="D2783" t="s">
        <v>256</v>
      </c>
      <c r="E2783" t="s">
        <v>428</v>
      </c>
      <c r="F2783" t="s">
        <v>429</v>
      </c>
      <c r="G2783" s="4" t="s">
        <v>245</v>
      </c>
    </row>
    <row r="2784" spans="1:7" hidden="1" x14ac:dyDescent="0.2">
      <c r="A2784" t="s">
        <v>79</v>
      </c>
      <c r="B2784" t="s">
        <v>113</v>
      </c>
      <c r="C2784" s="4">
        <f>(0.100925868687875/(0.100925868687875+0.388059965104881)) * 0.604577952248203%</f>
        <v>1.2478389107290009E-3</v>
      </c>
      <c r="D2784" t="s">
        <v>253</v>
      </c>
      <c r="E2784" t="s">
        <v>427</v>
      </c>
      <c r="F2784" t="s">
        <v>429</v>
      </c>
      <c r="G2784" s="4" t="s">
        <v>245</v>
      </c>
    </row>
    <row r="2785" spans="1:8" hidden="1" x14ac:dyDescent="0.2">
      <c r="A2785" t="s">
        <v>79</v>
      </c>
      <c r="B2785" t="s">
        <v>113</v>
      </c>
      <c r="C2785" s="4">
        <f>(0.388059965104881/(0.100925868687875+0.388059965104881)) * 0.604577952248203%</f>
        <v>4.797940611753029E-3</v>
      </c>
      <c r="D2785" t="s">
        <v>253</v>
      </c>
      <c r="E2785" t="s">
        <v>428</v>
      </c>
      <c r="F2785" t="s">
        <v>429</v>
      </c>
      <c r="G2785" s="4" t="s">
        <v>245</v>
      </c>
    </row>
    <row r="2786" spans="1:8" hidden="1" x14ac:dyDescent="0.2">
      <c r="A2786" t="s">
        <v>79</v>
      </c>
      <c r="B2786" t="s">
        <v>122</v>
      </c>
      <c r="C2786" s="4">
        <f>(0.144688166399844/(0.144688166399844+0.3663259998074)) * 1.32635451631867%</f>
        <v>3.7554301945608151E-3</v>
      </c>
      <c r="D2786" t="s">
        <v>256</v>
      </c>
      <c r="E2786" t="s">
        <v>427</v>
      </c>
      <c r="F2786" t="s">
        <v>429</v>
      </c>
      <c r="G2786" s="4" t="s">
        <v>245</v>
      </c>
    </row>
    <row r="2787" spans="1:8" hidden="1" x14ac:dyDescent="0.2">
      <c r="A2787" t="s">
        <v>79</v>
      </c>
      <c r="B2787" t="s">
        <v>122</v>
      </c>
      <c r="C2787" s="4">
        <f>(0.3663259998074/(0.144688166399844+0.3663259998074)) * 1.32635451631867%</f>
        <v>9.5081149686258842E-3</v>
      </c>
      <c r="D2787" t="s">
        <v>256</v>
      </c>
      <c r="E2787" t="s">
        <v>428</v>
      </c>
      <c r="F2787" t="s">
        <v>429</v>
      </c>
      <c r="G2787" s="4" t="s">
        <v>245</v>
      </c>
    </row>
    <row r="2788" spans="1:8" hidden="1" x14ac:dyDescent="0.2">
      <c r="A2788" t="s">
        <v>79</v>
      </c>
      <c r="B2788" t="s">
        <v>180</v>
      </c>
      <c r="C2788" s="4">
        <f>(0.144688166399844/(0.144688166399844+0.3663259998074)) * 6.58056930458364%</f>
        <v>1.8632174399665521E-2</v>
      </c>
      <c r="D2788" t="s">
        <v>256</v>
      </c>
      <c r="E2788" t="s">
        <v>427</v>
      </c>
      <c r="F2788" t="s">
        <v>429</v>
      </c>
      <c r="G2788" s="4" t="s">
        <v>245</v>
      </c>
    </row>
    <row r="2789" spans="1:8" hidden="1" x14ac:dyDescent="0.2">
      <c r="A2789" t="s">
        <v>79</v>
      </c>
      <c r="B2789" t="s">
        <v>180</v>
      </c>
      <c r="C2789" s="4">
        <f>(0.3663259998074/(0.144688166399844+0.3663259998074)) * 6.58056930458364%</f>
        <v>4.7173518646170871E-2</v>
      </c>
      <c r="D2789" t="s">
        <v>256</v>
      </c>
      <c r="E2789" t="s">
        <v>428</v>
      </c>
      <c r="F2789" t="s">
        <v>429</v>
      </c>
      <c r="G2789" s="4" t="s">
        <v>245</v>
      </c>
    </row>
    <row r="2790" spans="1:8" hidden="1" x14ac:dyDescent="0.2">
      <c r="A2790" t="s">
        <v>80</v>
      </c>
      <c r="B2790" t="s">
        <v>85</v>
      </c>
      <c r="C2790" s="4">
        <v>5.9688513738534087E-2</v>
      </c>
      <c r="D2790" t="s">
        <v>322</v>
      </c>
      <c r="E2790" t="s">
        <v>516</v>
      </c>
      <c r="F2790" t="s">
        <v>517</v>
      </c>
      <c r="G2790" t="s">
        <v>245</v>
      </c>
      <c r="H2790" t="s">
        <v>515</v>
      </c>
    </row>
    <row r="2791" spans="1:8" hidden="1" x14ac:dyDescent="0.2">
      <c r="A2791" t="s">
        <v>80</v>
      </c>
      <c r="B2791" t="s">
        <v>86</v>
      </c>
      <c r="C2791" s="4">
        <v>0.58054197622738168</v>
      </c>
      <c r="D2791" t="s">
        <v>322</v>
      </c>
      <c r="E2791" t="s">
        <v>516</v>
      </c>
      <c r="F2791" t="s">
        <v>517</v>
      </c>
      <c r="G2791" t="s">
        <v>245</v>
      </c>
    </row>
    <row r="2792" spans="1:8" hidden="1" x14ac:dyDescent="0.2">
      <c r="A2792" t="s">
        <v>80</v>
      </c>
      <c r="B2792" t="s">
        <v>97</v>
      </c>
      <c r="C2792" s="4">
        <v>4.1978283125223559E-3</v>
      </c>
      <c r="D2792" t="s">
        <v>322</v>
      </c>
      <c r="E2792" t="s">
        <v>516</v>
      </c>
      <c r="F2792" t="s">
        <v>517</v>
      </c>
      <c r="G2792" t="s">
        <v>245</v>
      </c>
    </row>
    <row r="2793" spans="1:8" hidden="1" x14ac:dyDescent="0.2">
      <c r="A2793" t="s">
        <v>80</v>
      </c>
      <c r="B2793" t="s">
        <v>102</v>
      </c>
      <c r="C2793" s="4">
        <v>1.027871770940832E-2</v>
      </c>
      <c r="D2793" t="s">
        <v>322</v>
      </c>
      <c r="E2793" t="s">
        <v>516</v>
      </c>
      <c r="F2793" t="s">
        <v>517</v>
      </c>
      <c r="G2793" t="s">
        <v>245</v>
      </c>
    </row>
    <row r="2794" spans="1:8" hidden="1" x14ac:dyDescent="0.2">
      <c r="A2794" t="s">
        <v>80</v>
      </c>
      <c r="B2794" t="s">
        <v>107</v>
      </c>
      <c r="C2794" s="4">
        <v>0.19253888438909469</v>
      </c>
      <c r="D2794" t="s">
        <v>322</v>
      </c>
      <c r="E2794" t="s">
        <v>516</v>
      </c>
      <c r="F2794" t="s">
        <v>517</v>
      </c>
      <c r="G2794" t="s">
        <v>245</v>
      </c>
    </row>
    <row r="2795" spans="1:8" hidden="1" x14ac:dyDescent="0.2">
      <c r="A2795" t="s">
        <v>80</v>
      </c>
      <c r="B2795" t="s">
        <v>137</v>
      </c>
      <c r="C2795" s="4">
        <v>0.15177348995358131</v>
      </c>
      <c r="D2795" t="s">
        <v>322</v>
      </c>
      <c r="E2795" t="s">
        <v>516</v>
      </c>
      <c r="F2795" t="s">
        <v>517</v>
      </c>
      <c r="G2795" t="s">
        <v>245</v>
      </c>
    </row>
    <row r="2796" spans="1:8" hidden="1" x14ac:dyDescent="0.2">
      <c r="A2796" t="s">
        <v>80</v>
      </c>
      <c r="B2796" t="s">
        <v>113</v>
      </c>
      <c r="C2796" s="4">
        <v>9.8058966947755328E-4</v>
      </c>
      <c r="D2796" t="s">
        <v>322</v>
      </c>
      <c r="E2796" t="s">
        <v>516</v>
      </c>
      <c r="F2796" t="s">
        <v>517</v>
      </c>
      <c r="G2796" t="s">
        <v>245</v>
      </c>
    </row>
    <row r="2797" spans="1:8" hidden="1" x14ac:dyDescent="0.2">
      <c r="A2797" t="s">
        <v>81</v>
      </c>
      <c r="B2797" t="s">
        <v>183</v>
      </c>
      <c r="C2797" s="4">
        <v>6.5215044461788111E-5</v>
      </c>
      <c r="D2797" t="s">
        <v>242</v>
      </c>
      <c r="E2797" t="s">
        <v>316</v>
      </c>
      <c r="F2797" t="s">
        <v>430</v>
      </c>
      <c r="G2797" t="s">
        <v>245</v>
      </c>
      <c r="H2797" t="s">
        <v>431</v>
      </c>
    </row>
    <row r="2798" spans="1:8" hidden="1" x14ac:dyDescent="0.2">
      <c r="A2798" t="s">
        <v>81</v>
      </c>
      <c r="B2798" t="s">
        <v>124</v>
      </c>
      <c r="C2798" s="4">
        <v>1.2184874343890921E-3</v>
      </c>
      <c r="D2798" t="s">
        <v>242</v>
      </c>
      <c r="E2798" t="s">
        <v>316</v>
      </c>
      <c r="F2798" t="s">
        <v>430</v>
      </c>
      <c r="G2798" t="s">
        <v>245</v>
      </c>
    </row>
    <row r="2799" spans="1:8" hidden="1" x14ac:dyDescent="0.2">
      <c r="A2799" t="s">
        <v>81</v>
      </c>
      <c r="B2799" t="s">
        <v>164</v>
      </c>
      <c r="C2799" s="4">
        <v>5.273670241781914E-4</v>
      </c>
      <c r="D2799" t="s">
        <v>242</v>
      </c>
      <c r="E2799" t="s">
        <v>316</v>
      </c>
      <c r="F2799" t="s">
        <v>430</v>
      </c>
      <c r="G2799" t="s">
        <v>245</v>
      </c>
    </row>
    <row r="2800" spans="1:8" hidden="1" x14ac:dyDescent="0.2">
      <c r="A2800" t="s">
        <v>81</v>
      </c>
      <c r="B2800" t="s">
        <v>83</v>
      </c>
      <c r="C2800" s="4">
        <v>9.4901187198528539E-2</v>
      </c>
      <c r="D2800" t="s">
        <v>242</v>
      </c>
      <c r="E2800" t="s">
        <v>316</v>
      </c>
      <c r="F2800" t="s">
        <v>430</v>
      </c>
      <c r="G2800" t="s">
        <v>245</v>
      </c>
    </row>
    <row r="2801" spans="1:7" hidden="1" x14ac:dyDescent="0.2">
      <c r="A2801" t="s">
        <v>81</v>
      </c>
      <c r="B2801" t="s">
        <v>144</v>
      </c>
      <c r="C2801" s="4">
        <v>3.8684053294434202E-2</v>
      </c>
      <c r="D2801" t="s">
        <v>242</v>
      </c>
      <c r="E2801" t="s">
        <v>316</v>
      </c>
      <c r="F2801" t="s">
        <v>430</v>
      </c>
      <c r="G2801" t="s">
        <v>245</v>
      </c>
    </row>
    <row r="2802" spans="1:7" hidden="1" x14ac:dyDescent="0.2">
      <c r="A2802" t="s">
        <v>81</v>
      </c>
      <c r="B2802" t="s">
        <v>84</v>
      </c>
      <c r="C2802" s="4">
        <v>5.9546107426134136E-4</v>
      </c>
      <c r="D2802" t="s">
        <v>242</v>
      </c>
      <c r="E2802" t="s">
        <v>316</v>
      </c>
      <c r="F2802" t="s">
        <v>430</v>
      </c>
      <c r="G2802" t="s">
        <v>245</v>
      </c>
    </row>
    <row r="2803" spans="1:7" hidden="1" x14ac:dyDescent="0.2">
      <c r="A2803" t="s">
        <v>81</v>
      </c>
      <c r="B2803" t="s">
        <v>85</v>
      </c>
      <c r="C2803" s="4">
        <v>1.3108223936819411E-2</v>
      </c>
      <c r="D2803" t="s">
        <v>242</v>
      </c>
      <c r="E2803" t="s">
        <v>316</v>
      </c>
      <c r="F2803" t="s">
        <v>430</v>
      </c>
      <c r="G2803" t="s">
        <v>245</v>
      </c>
    </row>
    <row r="2804" spans="1:7" hidden="1" x14ac:dyDescent="0.2">
      <c r="A2804" t="s">
        <v>81</v>
      </c>
      <c r="B2804" t="s">
        <v>147</v>
      </c>
      <c r="C2804" s="4">
        <v>1.1631023649217879E-3</v>
      </c>
      <c r="D2804" t="s">
        <v>242</v>
      </c>
      <c r="E2804" t="s">
        <v>316</v>
      </c>
      <c r="F2804" t="s">
        <v>430</v>
      </c>
      <c r="G2804" t="s">
        <v>245</v>
      </c>
    </row>
    <row r="2805" spans="1:7" hidden="1" x14ac:dyDescent="0.2">
      <c r="A2805" t="s">
        <v>81</v>
      </c>
      <c r="B2805" t="s">
        <v>186</v>
      </c>
      <c r="C2805" s="4">
        <v>6.9245970453862826E-3</v>
      </c>
      <c r="D2805" t="s">
        <v>242</v>
      </c>
      <c r="E2805" t="s">
        <v>316</v>
      </c>
      <c r="F2805" t="s">
        <v>430</v>
      </c>
      <c r="G2805" t="s">
        <v>245</v>
      </c>
    </row>
    <row r="2806" spans="1:7" hidden="1" x14ac:dyDescent="0.2">
      <c r="A2806" t="s">
        <v>81</v>
      </c>
      <c r="B2806" t="s">
        <v>116</v>
      </c>
      <c r="C2806" s="4">
        <v>2.6347005211429641E-2</v>
      </c>
      <c r="D2806" t="s">
        <v>289</v>
      </c>
      <c r="E2806" t="s">
        <v>310</v>
      </c>
      <c r="F2806" t="s">
        <v>430</v>
      </c>
      <c r="G2806" t="s">
        <v>245</v>
      </c>
    </row>
    <row r="2807" spans="1:7" hidden="1" x14ac:dyDescent="0.2">
      <c r="A2807" t="s">
        <v>81</v>
      </c>
      <c r="B2807" t="s">
        <v>145</v>
      </c>
      <c r="C2807" s="4">
        <v>1.877159383453152E-3</v>
      </c>
      <c r="D2807" t="s">
        <v>242</v>
      </c>
      <c r="E2807" t="s">
        <v>316</v>
      </c>
      <c r="F2807" t="s">
        <v>430</v>
      </c>
      <c r="G2807" t="s">
        <v>245</v>
      </c>
    </row>
    <row r="2808" spans="1:7" hidden="1" x14ac:dyDescent="0.2">
      <c r="A2808" t="s">
        <v>81</v>
      </c>
      <c r="B2808" t="s">
        <v>86</v>
      </c>
      <c r="C2808" s="4">
        <v>0.31924195813801759</v>
      </c>
      <c r="D2808" t="s">
        <v>242</v>
      </c>
      <c r="E2808" t="s">
        <v>316</v>
      </c>
      <c r="F2808" t="s">
        <v>430</v>
      </c>
      <c r="G2808" t="s">
        <v>245</v>
      </c>
    </row>
    <row r="2809" spans="1:7" hidden="1" x14ac:dyDescent="0.2">
      <c r="A2809" t="s">
        <v>81</v>
      </c>
      <c r="B2809" t="s">
        <v>189</v>
      </c>
      <c r="C2809" s="4">
        <v>2.115512417906785E-4</v>
      </c>
      <c r="D2809" t="s">
        <v>242</v>
      </c>
      <c r="E2809" t="s">
        <v>316</v>
      </c>
      <c r="F2809" t="s">
        <v>430</v>
      </c>
      <c r="G2809" t="s">
        <v>245</v>
      </c>
    </row>
    <row r="2810" spans="1:7" hidden="1" x14ac:dyDescent="0.2">
      <c r="A2810" t="s">
        <v>81</v>
      </c>
      <c r="B2810" t="s">
        <v>159</v>
      </c>
      <c r="C2810" s="4">
        <v>8.1159327527275044E-4</v>
      </c>
      <c r="D2810" t="s">
        <v>242</v>
      </c>
      <c r="E2810" t="s">
        <v>316</v>
      </c>
      <c r="F2810" t="s">
        <v>430</v>
      </c>
      <c r="G2810" t="s">
        <v>245</v>
      </c>
    </row>
    <row r="2811" spans="1:7" hidden="1" x14ac:dyDescent="0.2">
      <c r="A2811" t="s">
        <v>81</v>
      </c>
      <c r="B2811" t="s">
        <v>160</v>
      </c>
      <c r="C2811" s="4">
        <v>3.2671146664515309E-3</v>
      </c>
      <c r="D2811" t="s">
        <v>242</v>
      </c>
      <c r="E2811" t="s">
        <v>316</v>
      </c>
      <c r="F2811" t="s">
        <v>430</v>
      </c>
      <c r="G2811" t="s">
        <v>245</v>
      </c>
    </row>
    <row r="2812" spans="1:7" hidden="1" x14ac:dyDescent="0.2">
      <c r="A2812" t="s">
        <v>81</v>
      </c>
      <c r="B2812" t="s">
        <v>89</v>
      </c>
      <c r="C2812" s="4">
        <v>3.2992450054302662E-4</v>
      </c>
      <c r="D2812" t="s">
        <v>242</v>
      </c>
      <c r="E2812" t="s">
        <v>316</v>
      </c>
      <c r="F2812" t="s">
        <v>430</v>
      </c>
      <c r="G2812" t="s">
        <v>245</v>
      </c>
    </row>
    <row r="2813" spans="1:7" hidden="1" x14ac:dyDescent="0.2">
      <c r="A2813" t="s">
        <v>81</v>
      </c>
      <c r="B2813" t="s">
        <v>168</v>
      </c>
      <c r="C2813" s="4">
        <v>9.4359965953929332E-3</v>
      </c>
      <c r="D2813" t="s">
        <v>242</v>
      </c>
      <c r="E2813" t="s">
        <v>316</v>
      </c>
      <c r="F2813" t="s">
        <v>430</v>
      </c>
      <c r="G2813" t="s">
        <v>245</v>
      </c>
    </row>
    <row r="2814" spans="1:7" hidden="1" x14ac:dyDescent="0.2">
      <c r="A2814" t="s">
        <v>81</v>
      </c>
      <c r="B2814" t="s">
        <v>154</v>
      </c>
      <c r="C2814" s="4">
        <v>5.2822118219955682E-3</v>
      </c>
      <c r="D2814" t="s">
        <v>242</v>
      </c>
      <c r="E2814" t="s">
        <v>316</v>
      </c>
      <c r="F2814" t="s">
        <v>430</v>
      </c>
      <c r="G2814" t="s">
        <v>245</v>
      </c>
    </row>
    <row r="2815" spans="1:7" hidden="1" x14ac:dyDescent="0.2">
      <c r="A2815" t="s">
        <v>81</v>
      </c>
      <c r="B2815" t="s">
        <v>169</v>
      </c>
      <c r="C2815" s="4">
        <v>6.8428078359661576E-5</v>
      </c>
      <c r="D2815" t="s">
        <v>242</v>
      </c>
      <c r="E2815" t="s">
        <v>316</v>
      </c>
      <c r="F2815" t="s">
        <v>430</v>
      </c>
      <c r="G2815" t="s">
        <v>245</v>
      </c>
    </row>
    <row r="2816" spans="1:7" hidden="1" x14ac:dyDescent="0.2">
      <c r="A2816" t="s">
        <v>81</v>
      </c>
      <c r="B2816" t="s">
        <v>93</v>
      </c>
      <c r="C2816" s="4">
        <v>1.7765373416811349E-3</v>
      </c>
      <c r="D2816" t="s">
        <v>242</v>
      </c>
      <c r="E2816" t="s">
        <v>316</v>
      </c>
      <c r="F2816" t="s">
        <v>430</v>
      </c>
      <c r="G2816" t="s">
        <v>245</v>
      </c>
    </row>
    <row r="2817" spans="1:7" hidden="1" x14ac:dyDescent="0.2">
      <c r="A2817" t="s">
        <v>81</v>
      </c>
      <c r="B2817" t="s">
        <v>196</v>
      </c>
      <c r="C2817" s="4">
        <v>9.7027261272416453E-5</v>
      </c>
      <c r="D2817" t="s">
        <v>242</v>
      </c>
      <c r="E2817" t="s">
        <v>316</v>
      </c>
      <c r="F2817" t="s">
        <v>430</v>
      </c>
      <c r="G2817" t="s">
        <v>245</v>
      </c>
    </row>
    <row r="2818" spans="1:7" hidden="1" x14ac:dyDescent="0.2">
      <c r="A2818" t="s">
        <v>81</v>
      </c>
      <c r="B2818" t="s">
        <v>197</v>
      </c>
      <c r="C2818" s="4">
        <v>2.1804093402004671E-3</v>
      </c>
      <c r="D2818" t="s">
        <v>242</v>
      </c>
      <c r="E2818" t="s">
        <v>316</v>
      </c>
      <c r="F2818" t="s">
        <v>430</v>
      </c>
      <c r="G2818" t="s">
        <v>245</v>
      </c>
    </row>
    <row r="2819" spans="1:7" hidden="1" x14ac:dyDescent="0.2">
      <c r="A2819" t="s">
        <v>81</v>
      </c>
      <c r="B2819" t="s">
        <v>97</v>
      </c>
      <c r="C2819" s="4">
        <v>5.9113652150810457E-2</v>
      </c>
      <c r="D2819" t="s">
        <v>242</v>
      </c>
      <c r="E2819" t="s">
        <v>316</v>
      </c>
      <c r="F2819" t="s">
        <v>430</v>
      </c>
      <c r="G2819" t="s">
        <v>245</v>
      </c>
    </row>
    <row r="2820" spans="1:7" hidden="1" x14ac:dyDescent="0.2">
      <c r="A2820" t="s">
        <v>81</v>
      </c>
      <c r="B2820" t="s">
        <v>98</v>
      </c>
      <c r="C2820" s="4">
        <v>1.4756255828694009E-3</v>
      </c>
      <c r="D2820" t="s">
        <v>242</v>
      </c>
      <c r="E2820" t="s">
        <v>316</v>
      </c>
      <c r="F2820" t="s">
        <v>430</v>
      </c>
      <c r="G2820" t="s">
        <v>245</v>
      </c>
    </row>
    <row r="2821" spans="1:7" hidden="1" x14ac:dyDescent="0.2">
      <c r="A2821" t="s">
        <v>81</v>
      </c>
      <c r="B2821" t="s">
        <v>99</v>
      </c>
      <c r="C2821" s="4">
        <v>1.1690989677905919E-2</v>
      </c>
      <c r="D2821" t="s">
        <v>242</v>
      </c>
      <c r="E2821" t="s">
        <v>316</v>
      </c>
      <c r="F2821" t="s">
        <v>430</v>
      </c>
      <c r="G2821" t="s">
        <v>245</v>
      </c>
    </row>
    <row r="2822" spans="1:7" hidden="1" x14ac:dyDescent="0.2">
      <c r="A2822" t="s">
        <v>81</v>
      </c>
      <c r="B2822" t="s">
        <v>118</v>
      </c>
      <c r="C2822" s="4">
        <v>9.9266682274800639E-3</v>
      </c>
      <c r="D2822" t="s">
        <v>242</v>
      </c>
      <c r="E2822" t="s">
        <v>316</v>
      </c>
      <c r="F2822" t="s">
        <v>430</v>
      </c>
      <c r="G2822" t="s">
        <v>245</v>
      </c>
    </row>
    <row r="2823" spans="1:7" hidden="1" x14ac:dyDescent="0.2">
      <c r="A2823" t="s">
        <v>81</v>
      </c>
      <c r="B2823" t="s">
        <v>102</v>
      </c>
      <c r="C2823" s="4">
        <v>2.6645912800582299E-2</v>
      </c>
      <c r="D2823" t="s">
        <v>242</v>
      </c>
      <c r="E2823" t="s">
        <v>316</v>
      </c>
      <c r="F2823" t="s">
        <v>430</v>
      </c>
      <c r="G2823" t="s">
        <v>245</v>
      </c>
    </row>
    <row r="2824" spans="1:7" hidden="1" x14ac:dyDescent="0.2">
      <c r="A2824" t="s">
        <v>81</v>
      </c>
      <c r="B2824" t="s">
        <v>148</v>
      </c>
      <c r="C2824" s="4">
        <v>3.134457722351211E-4</v>
      </c>
      <c r="D2824" t="s">
        <v>242</v>
      </c>
      <c r="E2824" t="s">
        <v>316</v>
      </c>
      <c r="F2824" t="s">
        <v>430</v>
      </c>
      <c r="G2824" t="s">
        <v>245</v>
      </c>
    </row>
    <row r="2825" spans="1:7" hidden="1" x14ac:dyDescent="0.2">
      <c r="A2825" t="s">
        <v>81</v>
      </c>
      <c r="B2825" t="s">
        <v>149</v>
      </c>
      <c r="C2825" s="4">
        <v>2.492025909968977E-3</v>
      </c>
      <c r="D2825" t="s">
        <v>242</v>
      </c>
      <c r="E2825" t="s">
        <v>316</v>
      </c>
      <c r="F2825" t="s">
        <v>430</v>
      </c>
      <c r="G2825" t="s">
        <v>245</v>
      </c>
    </row>
    <row r="2826" spans="1:7" hidden="1" x14ac:dyDescent="0.2">
      <c r="A2826" t="s">
        <v>81</v>
      </c>
      <c r="B2826" t="s">
        <v>230</v>
      </c>
      <c r="C2826" s="4">
        <v>3.1172791252734718E-4</v>
      </c>
      <c r="D2826" t="s">
        <v>242</v>
      </c>
      <c r="E2826" t="s">
        <v>316</v>
      </c>
      <c r="F2826" t="s">
        <v>430</v>
      </c>
      <c r="G2826" t="s">
        <v>245</v>
      </c>
    </row>
    <row r="2827" spans="1:7" hidden="1" x14ac:dyDescent="0.2">
      <c r="A2827" t="s">
        <v>81</v>
      </c>
      <c r="B2827" t="s">
        <v>171</v>
      </c>
      <c r="C2827" s="4">
        <v>2.6563201036874668E-4</v>
      </c>
      <c r="D2827" t="s">
        <v>242</v>
      </c>
      <c r="E2827" t="s">
        <v>316</v>
      </c>
      <c r="F2827" t="s">
        <v>430</v>
      </c>
      <c r="G2827" t="s">
        <v>245</v>
      </c>
    </row>
    <row r="2828" spans="1:7" hidden="1" x14ac:dyDescent="0.2">
      <c r="A2828" t="s">
        <v>81</v>
      </c>
      <c r="B2828" t="s">
        <v>150</v>
      </c>
      <c r="C2828" s="4">
        <v>6.2735997936277876E-2</v>
      </c>
      <c r="D2828" t="s">
        <v>242</v>
      </c>
      <c r="E2828" t="s">
        <v>316</v>
      </c>
      <c r="F2828" t="s">
        <v>430</v>
      </c>
      <c r="G2828" t="s">
        <v>245</v>
      </c>
    </row>
    <row r="2829" spans="1:7" hidden="1" x14ac:dyDescent="0.2">
      <c r="A2829" t="s">
        <v>81</v>
      </c>
      <c r="B2829" t="s">
        <v>173</v>
      </c>
      <c r="C2829" s="4">
        <v>3.840529874463107E-3</v>
      </c>
      <c r="D2829" t="s">
        <v>242</v>
      </c>
      <c r="E2829" t="s">
        <v>316</v>
      </c>
      <c r="F2829" t="s">
        <v>430</v>
      </c>
      <c r="G2829" t="s">
        <v>245</v>
      </c>
    </row>
    <row r="2830" spans="1:7" hidden="1" x14ac:dyDescent="0.2">
      <c r="A2830" t="s">
        <v>81</v>
      </c>
      <c r="B2830" t="s">
        <v>104</v>
      </c>
      <c r="C2830" s="4">
        <v>7.7106451105600992E-4</v>
      </c>
      <c r="D2830" t="s">
        <v>242</v>
      </c>
      <c r="E2830" t="s">
        <v>316</v>
      </c>
      <c r="F2830" t="s">
        <v>430</v>
      </c>
      <c r="G2830" t="s">
        <v>245</v>
      </c>
    </row>
    <row r="2831" spans="1:7" hidden="1" x14ac:dyDescent="0.2">
      <c r="A2831" t="s">
        <v>81</v>
      </c>
      <c r="B2831" t="s">
        <v>161</v>
      </c>
      <c r="C2831" s="4">
        <v>3.6006339474941589E-3</v>
      </c>
      <c r="D2831" t="s">
        <v>242</v>
      </c>
      <c r="E2831" t="s">
        <v>316</v>
      </c>
      <c r="F2831" t="s">
        <v>430</v>
      </c>
      <c r="G2831" t="s">
        <v>245</v>
      </c>
    </row>
    <row r="2832" spans="1:7" hidden="1" x14ac:dyDescent="0.2">
      <c r="A2832" t="s">
        <v>81</v>
      </c>
      <c r="B2832" t="s">
        <v>174</v>
      </c>
      <c r="C2832" s="4">
        <v>1.2695460423701511E-3</v>
      </c>
      <c r="D2832" t="s">
        <v>242</v>
      </c>
      <c r="E2832" t="s">
        <v>316</v>
      </c>
      <c r="F2832" t="s">
        <v>430</v>
      </c>
      <c r="G2832" t="s">
        <v>245</v>
      </c>
    </row>
    <row r="2833" spans="1:7" hidden="1" x14ac:dyDescent="0.2">
      <c r="A2833" t="s">
        <v>81</v>
      </c>
      <c r="B2833" t="s">
        <v>175</v>
      </c>
      <c r="C2833" s="4">
        <v>8.1394578870589637E-3</v>
      </c>
      <c r="D2833" t="s">
        <v>242</v>
      </c>
      <c r="E2833" t="s">
        <v>316</v>
      </c>
      <c r="F2833" t="s">
        <v>430</v>
      </c>
      <c r="G2833" t="s">
        <v>245</v>
      </c>
    </row>
    <row r="2834" spans="1:7" hidden="1" x14ac:dyDescent="0.2">
      <c r="A2834" t="s">
        <v>81</v>
      </c>
      <c r="B2834" t="s">
        <v>203</v>
      </c>
      <c r="C2834" s="4">
        <v>2.0852908119366881E-3</v>
      </c>
      <c r="D2834" t="s">
        <v>242</v>
      </c>
      <c r="E2834" t="s">
        <v>316</v>
      </c>
      <c r="F2834" t="s">
        <v>430</v>
      </c>
      <c r="G2834" t="s">
        <v>245</v>
      </c>
    </row>
    <row r="2835" spans="1:7" hidden="1" x14ac:dyDescent="0.2">
      <c r="A2835" t="s">
        <v>81</v>
      </c>
      <c r="B2835" t="s">
        <v>176</v>
      </c>
      <c r="C2835" s="4">
        <v>2.3926604507609789E-3</v>
      </c>
      <c r="D2835" t="s">
        <v>242</v>
      </c>
      <c r="E2835" t="s">
        <v>316</v>
      </c>
      <c r="F2835" t="s">
        <v>430</v>
      </c>
      <c r="G2835" t="s">
        <v>245</v>
      </c>
    </row>
    <row r="2836" spans="1:7" hidden="1" x14ac:dyDescent="0.2">
      <c r="A2836" t="s">
        <v>81</v>
      </c>
      <c r="B2836" t="s">
        <v>106</v>
      </c>
      <c r="C2836" s="4">
        <v>1.8932722712677349E-3</v>
      </c>
      <c r="D2836" t="s">
        <v>242</v>
      </c>
      <c r="E2836" t="s">
        <v>316</v>
      </c>
      <c r="F2836" t="s">
        <v>430</v>
      </c>
      <c r="G2836" t="s">
        <v>245</v>
      </c>
    </row>
    <row r="2837" spans="1:7" hidden="1" x14ac:dyDescent="0.2">
      <c r="A2837" t="s">
        <v>81</v>
      </c>
      <c r="B2837" t="s">
        <v>146</v>
      </c>
      <c r="C2837" s="4">
        <v>0.1148174641244485</v>
      </c>
      <c r="D2837" t="s">
        <v>311</v>
      </c>
      <c r="E2837" t="s">
        <v>395</v>
      </c>
      <c r="F2837" t="s">
        <v>430</v>
      </c>
      <c r="G2837" t="s">
        <v>245</v>
      </c>
    </row>
    <row r="2838" spans="1:7" hidden="1" x14ac:dyDescent="0.2">
      <c r="A2838" t="s">
        <v>81</v>
      </c>
      <c r="B2838" t="s">
        <v>151</v>
      </c>
      <c r="C2838" s="4">
        <v>3.2508586236612998E-3</v>
      </c>
      <c r="D2838" t="s">
        <v>242</v>
      </c>
      <c r="E2838" t="s">
        <v>316</v>
      </c>
      <c r="F2838" t="s">
        <v>430</v>
      </c>
      <c r="G2838" t="s">
        <v>245</v>
      </c>
    </row>
    <row r="2839" spans="1:7" hidden="1" x14ac:dyDescent="0.2">
      <c r="A2839" t="s">
        <v>81</v>
      </c>
      <c r="B2839" t="s">
        <v>178</v>
      </c>
      <c r="C2839" s="4">
        <v>1.1809665152717971E-2</v>
      </c>
      <c r="D2839" t="s">
        <v>242</v>
      </c>
      <c r="E2839" t="s">
        <v>316</v>
      </c>
      <c r="F2839" t="s">
        <v>430</v>
      </c>
      <c r="G2839" t="s">
        <v>245</v>
      </c>
    </row>
    <row r="2840" spans="1:7" hidden="1" x14ac:dyDescent="0.2">
      <c r="A2840" t="s">
        <v>81</v>
      </c>
      <c r="B2840" t="s">
        <v>120</v>
      </c>
      <c r="C2840" s="4">
        <v>8.4302374548165114E-5</v>
      </c>
      <c r="D2840" t="s">
        <v>242</v>
      </c>
      <c r="E2840" t="s">
        <v>316</v>
      </c>
      <c r="F2840" t="s">
        <v>430</v>
      </c>
      <c r="G2840" t="s">
        <v>245</v>
      </c>
    </row>
    <row r="2841" spans="1:7" hidden="1" x14ac:dyDescent="0.2">
      <c r="A2841" t="s">
        <v>81</v>
      </c>
      <c r="B2841" t="s">
        <v>107</v>
      </c>
      <c r="C2841" s="4">
        <v>2.1621173155343551E-2</v>
      </c>
      <c r="D2841" t="s">
        <v>242</v>
      </c>
      <c r="E2841" t="s">
        <v>316</v>
      </c>
      <c r="F2841" t="s">
        <v>430</v>
      </c>
      <c r="G2841" t="s">
        <v>245</v>
      </c>
    </row>
    <row r="2842" spans="1:7" hidden="1" x14ac:dyDescent="0.2">
      <c r="A2842" t="s">
        <v>81</v>
      </c>
      <c r="B2842" t="s">
        <v>108</v>
      </c>
      <c r="C2842" s="4">
        <v>2.5888145796153141E-3</v>
      </c>
      <c r="D2842" t="s">
        <v>242</v>
      </c>
      <c r="E2842" t="s">
        <v>316</v>
      </c>
      <c r="F2842" t="s">
        <v>430</v>
      </c>
      <c r="G2842" t="s">
        <v>245</v>
      </c>
    </row>
    <row r="2843" spans="1:7" hidden="1" x14ac:dyDescent="0.2">
      <c r="A2843" t="s">
        <v>81</v>
      </c>
      <c r="B2843" t="s">
        <v>179</v>
      </c>
      <c r="C2843" s="4">
        <v>6.919157156311665E-4</v>
      </c>
      <c r="D2843" t="s">
        <v>242</v>
      </c>
      <c r="E2843" t="s">
        <v>316</v>
      </c>
      <c r="F2843" t="s">
        <v>430</v>
      </c>
      <c r="G2843" t="s">
        <v>245</v>
      </c>
    </row>
    <row r="2844" spans="1:7" hidden="1" x14ac:dyDescent="0.2">
      <c r="A2844" t="s">
        <v>81</v>
      </c>
      <c r="B2844" t="s">
        <v>135</v>
      </c>
      <c r="C2844" s="4">
        <v>8.8597023817599954E-6</v>
      </c>
      <c r="D2844" t="s">
        <v>242</v>
      </c>
      <c r="E2844" t="s">
        <v>316</v>
      </c>
      <c r="F2844" t="s">
        <v>430</v>
      </c>
      <c r="G2844" t="s">
        <v>245</v>
      </c>
    </row>
    <row r="2845" spans="1:7" hidden="1" x14ac:dyDescent="0.2">
      <c r="A2845" t="s">
        <v>81</v>
      </c>
      <c r="B2845" t="s">
        <v>137</v>
      </c>
      <c r="C2845" s="4">
        <v>8.5680638841485589E-3</v>
      </c>
      <c r="D2845" t="s">
        <v>242</v>
      </c>
      <c r="E2845" t="s">
        <v>316</v>
      </c>
      <c r="F2845" t="s">
        <v>430</v>
      </c>
      <c r="G2845" t="s">
        <v>245</v>
      </c>
    </row>
    <row r="2846" spans="1:7" hidden="1" x14ac:dyDescent="0.2">
      <c r="A2846" t="s">
        <v>81</v>
      </c>
      <c r="B2846" t="s">
        <v>121</v>
      </c>
      <c r="C2846" s="4">
        <v>7.135989226092908E-3</v>
      </c>
      <c r="D2846" t="s">
        <v>242</v>
      </c>
      <c r="E2846" t="s">
        <v>316</v>
      </c>
      <c r="F2846" t="s">
        <v>430</v>
      </c>
      <c r="G2846" t="s">
        <v>245</v>
      </c>
    </row>
    <row r="2847" spans="1:7" hidden="1" x14ac:dyDescent="0.2">
      <c r="A2847" t="s">
        <v>81</v>
      </c>
      <c r="B2847" t="s">
        <v>138</v>
      </c>
      <c r="C2847" s="4">
        <v>1.921208169459989E-2</v>
      </c>
      <c r="D2847" t="s">
        <v>242</v>
      </c>
      <c r="E2847" t="s">
        <v>316</v>
      </c>
      <c r="F2847" t="s">
        <v>430</v>
      </c>
      <c r="G2847" t="s">
        <v>245</v>
      </c>
    </row>
    <row r="2848" spans="1:7" hidden="1" x14ac:dyDescent="0.2">
      <c r="A2848" t="s">
        <v>81</v>
      </c>
      <c r="B2848" t="s">
        <v>139</v>
      </c>
      <c r="C2848" s="4">
        <v>5.9207307317100952E-3</v>
      </c>
      <c r="D2848" t="s">
        <v>242</v>
      </c>
      <c r="E2848" t="s">
        <v>316</v>
      </c>
      <c r="F2848" t="s">
        <v>430</v>
      </c>
      <c r="G2848" t="s">
        <v>245</v>
      </c>
    </row>
    <row r="2849" spans="1:8" hidden="1" x14ac:dyDescent="0.2">
      <c r="A2849" t="s">
        <v>81</v>
      </c>
      <c r="B2849" t="s">
        <v>215</v>
      </c>
      <c r="C2849" s="4">
        <v>1.8801020135081352E-5</v>
      </c>
      <c r="D2849" t="s">
        <v>242</v>
      </c>
      <c r="E2849" t="s">
        <v>316</v>
      </c>
      <c r="F2849" t="s">
        <v>430</v>
      </c>
      <c r="G2849" t="s">
        <v>245</v>
      </c>
    </row>
    <row r="2850" spans="1:8" hidden="1" x14ac:dyDescent="0.2">
      <c r="A2850" t="s">
        <v>81</v>
      </c>
      <c r="B2850" t="s">
        <v>112</v>
      </c>
      <c r="C2850" s="4">
        <v>1.26400753542342E-2</v>
      </c>
      <c r="D2850" t="s">
        <v>242</v>
      </c>
      <c r="E2850" t="s">
        <v>316</v>
      </c>
      <c r="F2850" t="s">
        <v>430</v>
      </c>
      <c r="G2850" t="s">
        <v>245</v>
      </c>
    </row>
    <row r="2851" spans="1:8" hidden="1" x14ac:dyDescent="0.2">
      <c r="A2851" t="s">
        <v>81</v>
      </c>
      <c r="B2851" t="s">
        <v>113</v>
      </c>
      <c r="C2851" s="4">
        <v>6.0583185694160623E-2</v>
      </c>
      <c r="D2851" t="s">
        <v>242</v>
      </c>
      <c r="E2851" t="s">
        <v>316</v>
      </c>
      <c r="F2851" t="s">
        <v>430</v>
      </c>
      <c r="G2851" t="s">
        <v>245</v>
      </c>
    </row>
    <row r="2852" spans="1:8" hidden="1" x14ac:dyDescent="0.2">
      <c r="A2852" t="s">
        <v>81</v>
      </c>
      <c r="B2852" t="s">
        <v>180</v>
      </c>
      <c r="C2852" s="4">
        <v>2.9903483801990648E-3</v>
      </c>
      <c r="D2852" t="s">
        <v>242</v>
      </c>
      <c r="E2852" t="s">
        <v>316</v>
      </c>
      <c r="F2852" t="s">
        <v>430</v>
      </c>
      <c r="G2852" t="s">
        <v>245</v>
      </c>
    </row>
    <row r="2853" spans="1:8" hidden="1" x14ac:dyDescent="0.2">
      <c r="A2853" t="s">
        <v>81</v>
      </c>
      <c r="B2853" t="s">
        <v>115</v>
      </c>
      <c r="C2853" s="4">
        <v>9.5436650431885046E-4</v>
      </c>
      <c r="D2853" t="s">
        <v>242</v>
      </c>
      <c r="E2853" t="s">
        <v>316</v>
      </c>
      <c r="F2853" t="s">
        <v>430</v>
      </c>
      <c r="G2853" t="s">
        <v>245</v>
      </c>
    </row>
    <row r="2854" spans="1:8" hidden="1" x14ac:dyDescent="0.2">
      <c r="A2854" t="s">
        <v>81</v>
      </c>
      <c r="B2854" t="s">
        <v>143</v>
      </c>
      <c r="C2854" s="4">
        <v>2.4559031377805082E-5</v>
      </c>
      <c r="D2854" t="s">
        <v>242</v>
      </c>
      <c r="E2854" t="s">
        <v>316</v>
      </c>
      <c r="F2854" t="s">
        <v>430</v>
      </c>
      <c r="G2854" t="s">
        <v>245</v>
      </c>
    </row>
    <row r="2855" spans="1:8" hidden="1" x14ac:dyDescent="0.2">
      <c r="A2855" t="s">
        <v>82</v>
      </c>
      <c r="B2855" t="s">
        <v>183</v>
      </c>
      <c r="C2855" s="4">
        <v>5.9552410536364508E-5</v>
      </c>
      <c r="D2855" t="s">
        <v>256</v>
      </c>
      <c r="E2855" t="s">
        <v>281</v>
      </c>
      <c r="F2855" t="s">
        <v>433</v>
      </c>
      <c r="G2855" t="s">
        <v>245</v>
      </c>
      <c r="H2855" t="s">
        <v>432</v>
      </c>
    </row>
    <row r="2856" spans="1:8" hidden="1" x14ac:dyDescent="0.2">
      <c r="A2856" t="s">
        <v>82</v>
      </c>
      <c r="B2856" t="s">
        <v>83</v>
      </c>
      <c r="C2856" s="4">
        <v>3.3690969516470513E-2</v>
      </c>
      <c r="D2856" t="s">
        <v>256</v>
      </c>
      <c r="E2856" t="s">
        <v>281</v>
      </c>
      <c r="F2856" t="s">
        <v>433</v>
      </c>
      <c r="G2856" t="s">
        <v>245</v>
      </c>
    </row>
    <row r="2857" spans="1:8" hidden="1" x14ac:dyDescent="0.2">
      <c r="A2857" t="s">
        <v>82</v>
      </c>
      <c r="B2857" t="s">
        <v>163</v>
      </c>
      <c r="C2857" s="4">
        <v>1.9542079513263779E-2</v>
      </c>
      <c r="D2857" t="s">
        <v>256</v>
      </c>
      <c r="E2857" t="s">
        <v>281</v>
      </c>
      <c r="F2857" t="s">
        <v>433</v>
      </c>
      <c r="G2857" t="s">
        <v>245</v>
      </c>
    </row>
    <row r="2858" spans="1:8" hidden="1" x14ac:dyDescent="0.2">
      <c r="A2858" t="s">
        <v>82</v>
      </c>
      <c r="B2858" t="s">
        <v>85</v>
      </c>
      <c r="C2858" s="4">
        <v>1.7969866538940921E-2</v>
      </c>
      <c r="D2858" t="s">
        <v>256</v>
      </c>
      <c r="E2858" t="s">
        <v>281</v>
      </c>
      <c r="F2858" t="s">
        <v>433</v>
      </c>
      <c r="G2858" t="s">
        <v>245</v>
      </c>
    </row>
    <row r="2859" spans="1:8" hidden="1" x14ac:dyDescent="0.2">
      <c r="A2859" t="s">
        <v>82</v>
      </c>
      <c r="B2859" t="s">
        <v>147</v>
      </c>
      <c r="C2859" s="4">
        <v>5.4473880708776953E-3</v>
      </c>
      <c r="D2859" t="s">
        <v>256</v>
      </c>
      <c r="E2859" t="s">
        <v>281</v>
      </c>
      <c r="F2859" t="s">
        <v>433</v>
      </c>
      <c r="G2859" t="s">
        <v>245</v>
      </c>
    </row>
    <row r="2860" spans="1:8" hidden="1" x14ac:dyDescent="0.2">
      <c r="A2860" t="s">
        <v>82</v>
      </c>
      <c r="B2860" t="s">
        <v>116</v>
      </c>
      <c r="C2860" s="4">
        <v>4.6807461277511862E-2</v>
      </c>
      <c r="D2860" t="s">
        <v>289</v>
      </c>
      <c r="E2860" t="s">
        <v>281</v>
      </c>
      <c r="F2860" t="s">
        <v>433</v>
      </c>
      <c r="G2860" t="s">
        <v>245</v>
      </c>
    </row>
    <row r="2861" spans="1:8" hidden="1" x14ac:dyDescent="0.2">
      <c r="A2861" t="s">
        <v>82</v>
      </c>
      <c r="B2861" t="s">
        <v>86</v>
      </c>
      <c r="C2861" s="4">
        <v>0.45431891536226598</v>
      </c>
      <c r="D2861" t="s">
        <v>256</v>
      </c>
      <c r="E2861" t="s">
        <v>281</v>
      </c>
      <c r="F2861" t="s">
        <v>433</v>
      </c>
      <c r="G2861" t="s">
        <v>245</v>
      </c>
    </row>
    <row r="2862" spans="1:8" hidden="1" x14ac:dyDescent="0.2">
      <c r="A2862" t="s">
        <v>82</v>
      </c>
      <c r="B2862" t="s">
        <v>154</v>
      </c>
      <c r="C2862" s="4">
        <v>2.1426693285518519E-2</v>
      </c>
      <c r="D2862" t="s">
        <v>256</v>
      </c>
      <c r="E2862" t="s">
        <v>281</v>
      </c>
      <c r="F2862" t="s">
        <v>433</v>
      </c>
      <c r="G2862" t="s">
        <v>245</v>
      </c>
    </row>
    <row r="2863" spans="1:8" hidden="1" x14ac:dyDescent="0.2">
      <c r="A2863" t="s">
        <v>82</v>
      </c>
      <c r="B2863" t="s">
        <v>91</v>
      </c>
      <c r="C2863" s="4">
        <v>1.164645664184074E-2</v>
      </c>
      <c r="D2863" t="s">
        <v>256</v>
      </c>
      <c r="E2863" t="s">
        <v>281</v>
      </c>
      <c r="F2863" t="s">
        <v>433</v>
      </c>
      <c r="G2863" t="s">
        <v>245</v>
      </c>
    </row>
    <row r="2864" spans="1:8" hidden="1" x14ac:dyDescent="0.2">
      <c r="A2864" t="s">
        <v>82</v>
      </c>
      <c r="B2864" t="s">
        <v>117</v>
      </c>
      <c r="C2864" s="4">
        <v>1.2775898910633861E-2</v>
      </c>
      <c r="D2864" t="s">
        <v>256</v>
      </c>
      <c r="E2864" t="s">
        <v>281</v>
      </c>
      <c r="F2864" t="s">
        <v>433</v>
      </c>
      <c r="G2864" t="s">
        <v>245</v>
      </c>
    </row>
    <row r="2865" spans="1:7" hidden="1" x14ac:dyDescent="0.2">
      <c r="A2865" t="s">
        <v>82</v>
      </c>
      <c r="B2865" t="s">
        <v>97</v>
      </c>
      <c r="C2865" s="4">
        <v>5.2748195598630962E-2</v>
      </c>
      <c r="D2865" t="s">
        <v>256</v>
      </c>
      <c r="E2865" t="s">
        <v>281</v>
      </c>
      <c r="F2865" t="s">
        <v>433</v>
      </c>
      <c r="G2865" t="s">
        <v>245</v>
      </c>
    </row>
    <row r="2866" spans="1:7" hidden="1" x14ac:dyDescent="0.2">
      <c r="A2866" t="s">
        <v>82</v>
      </c>
      <c r="B2866" t="s">
        <v>99</v>
      </c>
      <c r="C2866" s="4">
        <v>1.0106308093486491E-2</v>
      </c>
      <c r="D2866" t="s">
        <v>256</v>
      </c>
      <c r="E2866" t="s">
        <v>281</v>
      </c>
      <c r="F2866" t="s">
        <v>433</v>
      </c>
      <c r="G2866" t="s">
        <v>245</v>
      </c>
    </row>
    <row r="2867" spans="1:7" hidden="1" x14ac:dyDescent="0.2">
      <c r="A2867" t="s">
        <v>82</v>
      </c>
      <c r="B2867" t="s">
        <v>182</v>
      </c>
      <c r="C2867" s="4">
        <v>1.0255922523898051E-2</v>
      </c>
      <c r="D2867" t="s">
        <v>256</v>
      </c>
      <c r="E2867" t="s">
        <v>281</v>
      </c>
      <c r="F2867" t="s">
        <v>433</v>
      </c>
      <c r="G2867" t="s">
        <v>245</v>
      </c>
    </row>
    <row r="2868" spans="1:7" hidden="1" x14ac:dyDescent="0.2">
      <c r="A2868" t="s">
        <v>82</v>
      </c>
      <c r="B2868" t="s">
        <v>119</v>
      </c>
      <c r="C2868" s="4">
        <v>3.7991988352604603E-2</v>
      </c>
      <c r="D2868" t="s">
        <v>256</v>
      </c>
      <c r="E2868" t="s">
        <v>281</v>
      </c>
      <c r="F2868" t="s">
        <v>433</v>
      </c>
      <c r="G2868" t="s">
        <v>245</v>
      </c>
    </row>
    <row r="2869" spans="1:7" hidden="1" x14ac:dyDescent="0.2">
      <c r="A2869" t="s">
        <v>82</v>
      </c>
      <c r="B2869" t="s">
        <v>102</v>
      </c>
      <c r="C2869" s="4">
        <v>2.3169554718999018E-2</v>
      </c>
      <c r="D2869" t="s">
        <v>256</v>
      </c>
      <c r="E2869" t="s">
        <v>281</v>
      </c>
      <c r="F2869" t="s">
        <v>433</v>
      </c>
      <c r="G2869" t="s">
        <v>245</v>
      </c>
    </row>
    <row r="2870" spans="1:7" hidden="1" x14ac:dyDescent="0.2">
      <c r="A2870" t="s">
        <v>82</v>
      </c>
      <c r="B2870" t="s">
        <v>148</v>
      </c>
      <c r="C2870" s="4">
        <v>7.1842913296882763E-2</v>
      </c>
      <c r="D2870" t="s">
        <v>256</v>
      </c>
      <c r="E2870" t="s">
        <v>281</v>
      </c>
      <c r="F2870" t="s">
        <v>433</v>
      </c>
      <c r="G2870" t="s">
        <v>245</v>
      </c>
    </row>
    <row r="2871" spans="1:7" hidden="1" x14ac:dyDescent="0.2">
      <c r="A2871" t="s">
        <v>82</v>
      </c>
      <c r="B2871" t="s">
        <v>149</v>
      </c>
      <c r="C2871" s="4">
        <v>1.100106105967325E-3</v>
      </c>
      <c r="D2871" t="s">
        <v>256</v>
      </c>
      <c r="E2871" t="s">
        <v>281</v>
      </c>
      <c r="F2871" t="s">
        <v>433</v>
      </c>
      <c r="G2871" t="s">
        <v>245</v>
      </c>
    </row>
    <row r="2872" spans="1:7" hidden="1" x14ac:dyDescent="0.2">
      <c r="A2872" t="s">
        <v>82</v>
      </c>
      <c r="B2872" t="s">
        <v>150</v>
      </c>
      <c r="C2872" s="4">
        <v>2.599756081540569E-2</v>
      </c>
      <c r="D2872" t="s">
        <v>256</v>
      </c>
      <c r="E2872" t="s">
        <v>281</v>
      </c>
      <c r="F2872" t="s">
        <v>433</v>
      </c>
      <c r="G2872" t="s">
        <v>245</v>
      </c>
    </row>
    <row r="2873" spans="1:7" hidden="1" x14ac:dyDescent="0.2">
      <c r="A2873" t="s">
        <v>82</v>
      </c>
      <c r="B2873" t="s">
        <v>175</v>
      </c>
      <c r="C2873" s="4">
        <v>3.4041830023867018E-3</v>
      </c>
      <c r="D2873" t="s">
        <v>256</v>
      </c>
      <c r="E2873" t="s">
        <v>281</v>
      </c>
      <c r="F2873" t="s">
        <v>433</v>
      </c>
      <c r="G2873" t="s">
        <v>245</v>
      </c>
    </row>
    <row r="2874" spans="1:7" hidden="1" x14ac:dyDescent="0.2">
      <c r="A2874" t="s">
        <v>82</v>
      </c>
      <c r="B2874" t="s">
        <v>130</v>
      </c>
      <c r="C2874" s="4">
        <v>1.8569791068728438E-2</v>
      </c>
      <c r="D2874" t="s">
        <v>256</v>
      </c>
      <c r="E2874" t="s">
        <v>281</v>
      </c>
      <c r="F2874" t="s">
        <v>433</v>
      </c>
      <c r="G2874" t="s">
        <v>245</v>
      </c>
    </row>
    <row r="2875" spans="1:7" hidden="1" x14ac:dyDescent="0.2">
      <c r="A2875" t="s">
        <v>82</v>
      </c>
      <c r="B2875" t="s">
        <v>132</v>
      </c>
      <c r="C2875" s="4">
        <v>1.364027428021451E-2</v>
      </c>
      <c r="D2875" t="s">
        <v>256</v>
      </c>
      <c r="E2875" t="s">
        <v>281</v>
      </c>
      <c r="F2875" t="s">
        <v>433</v>
      </c>
      <c r="G2875" t="s">
        <v>245</v>
      </c>
    </row>
    <row r="2876" spans="1:7" hidden="1" x14ac:dyDescent="0.2">
      <c r="A2876" t="s">
        <v>82</v>
      </c>
      <c r="B2876" t="s">
        <v>146</v>
      </c>
      <c r="C2876" s="4">
        <v>2.4078535724156289E-2</v>
      </c>
      <c r="D2876" t="s">
        <v>256</v>
      </c>
      <c r="E2876" t="s">
        <v>281</v>
      </c>
      <c r="F2876" t="s">
        <v>433</v>
      </c>
      <c r="G2876" t="s">
        <v>245</v>
      </c>
    </row>
    <row r="2877" spans="1:7" hidden="1" x14ac:dyDescent="0.2">
      <c r="A2877" t="s">
        <v>82</v>
      </c>
      <c r="B2877" t="s">
        <v>151</v>
      </c>
      <c r="C2877" s="4">
        <v>1.182866354915176E-2</v>
      </c>
      <c r="D2877" t="s">
        <v>256</v>
      </c>
      <c r="E2877" t="s">
        <v>281</v>
      </c>
      <c r="F2877" t="s">
        <v>433</v>
      </c>
      <c r="G2877" t="s">
        <v>245</v>
      </c>
    </row>
    <row r="2878" spans="1:7" hidden="1" x14ac:dyDescent="0.2">
      <c r="A2878" t="s">
        <v>82</v>
      </c>
      <c r="B2878" t="s">
        <v>107</v>
      </c>
      <c r="C2878" s="4">
        <v>1.6571998380291782E-2</v>
      </c>
      <c r="D2878" t="s">
        <v>256</v>
      </c>
      <c r="E2878" t="s">
        <v>281</v>
      </c>
      <c r="F2878" t="s">
        <v>433</v>
      </c>
      <c r="G2878" t="s">
        <v>245</v>
      </c>
    </row>
    <row r="2879" spans="1:7" hidden="1" x14ac:dyDescent="0.2">
      <c r="A2879" t="s">
        <v>82</v>
      </c>
      <c r="B2879" t="s">
        <v>121</v>
      </c>
      <c r="C2879" s="4">
        <v>3.7183586381695583E-2</v>
      </c>
      <c r="D2879" t="s">
        <v>256</v>
      </c>
      <c r="E2879" t="s">
        <v>281</v>
      </c>
      <c r="F2879" t="s">
        <v>433</v>
      </c>
      <c r="G2879" t="s">
        <v>245</v>
      </c>
    </row>
    <row r="2880" spans="1:7" hidden="1" x14ac:dyDescent="0.2">
      <c r="A2880" t="s">
        <v>82</v>
      </c>
      <c r="B2880" t="s">
        <v>215</v>
      </c>
      <c r="C2880" s="4">
        <v>4.40306467852362E-4</v>
      </c>
      <c r="D2880" t="s">
        <v>256</v>
      </c>
      <c r="E2880" t="s">
        <v>281</v>
      </c>
      <c r="F2880" t="s">
        <v>433</v>
      </c>
      <c r="G2880" t="s">
        <v>245</v>
      </c>
    </row>
    <row r="2881" spans="1:7" hidden="1" x14ac:dyDescent="0.2">
      <c r="A2881" t="s">
        <v>82</v>
      </c>
      <c r="B2881" t="s">
        <v>113</v>
      </c>
      <c r="C2881" s="4">
        <v>1.119174611804092E-2</v>
      </c>
      <c r="D2881" t="s">
        <v>256</v>
      </c>
      <c r="E2881" t="s">
        <v>281</v>
      </c>
      <c r="F2881" t="s">
        <v>433</v>
      </c>
      <c r="G2881" t="s">
        <v>245</v>
      </c>
    </row>
    <row r="2882" spans="1:7" hidden="1" x14ac:dyDescent="0.2">
      <c r="A2882" t="s">
        <v>82</v>
      </c>
      <c r="B2882" t="s">
        <v>180</v>
      </c>
      <c r="C2882" s="4">
        <v>5.4464786498300954E-3</v>
      </c>
      <c r="D2882" t="s">
        <v>256</v>
      </c>
      <c r="E2882" t="s">
        <v>281</v>
      </c>
      <c r="F2882" t="s">
        <v>433</v>
      </c>
      <c r="G2882" t="s">
        <v>245</v>
      </c>
    </row>
    <row r="2883" spans="1:7" hidden="1" x14ac:dyDescent="0.2">
      <c r="A2883" t="s">
        <v>82</v>
      </c>
      <c r="B2883" t="s">
        <v>115</v>
      </c>
      <c r="C2883" s="4">
        <v>7.46605343916491E-4</v>
      </c>
      <c r="D2883" t="s">
        <v>256</v>
      </c>
      <c r="E2883" t="s">
        <v>281</v>
      </c>
      <c r="F2883" t="s">
        <v>433</v>
      </c>
      <c r="G2883"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workbookViewId="0">
      <selection activeCell="F7" sqref="F7"/>
    </sheetView>
  </sheetViews>
  <sheetFormatPr baseColWidth="10" defaultColWidth="8.83203125" defaultRowHeight="15" x14ac:dyDescent="0.2"/>
  <cols>
    <col min="2" max="2" width="11.5" bestFit="1" customWidth="1"/>
    <col min="3" max="3" width="24" bestFit="1" customWidth="1"/>
    <col min="4" max="4" width="34.1640625" bestFit="1" customWidth="1"/>
    <col min="5" max="5" width="5.1640625" bestFit="1" customWidth="1"/>
  </cols>
  <sheetData>
    <row r="1" spans="1:6" x14ac:dyDescent="0.2">
      <c r="A1" s="18" t="s">
        <v>597</v>
      </c>
    </row>
    <row r="2" spans="1:6" x14ac:dyDescent="0.2">
      <c r="F2" t="s">
        <v>567</v>
      </c>
    </row>
    <row r="3" spans="1:6" x14ac:dyDescent="0.2">
      <c r="A3" s="8">
        <v>6.1291819337933607E-5</v>
      </c>
      <c r="B3" t="s">
        <v>598</v>
      </c>
      <c r="C3" t="s">
        <v>599</v>
      </c>
      <c r="D3" t="s">
        <v>600</v>
      </c>
      <c r="E3" t="s">
        <v>601</v>
      </c>
      <c r="F3" s="2">
        <f>A3/SUM($A$3:$A$26)</f>
        <v>1.9919841284828529E-2</v>
      </c>
    </row>
    <row r="4" spans="1:6" x14ac:dyDescent="0.2">
      <c r="A4" s="8">
        <v>1.1480055050597E-5</v>
      </c>
      <c r="B4" t="s">
        <v>598</v>
      </c>
      <c r="C4" t="s">
        <v>599</v>
      </c>
      <c r="D4" t="s">
        <v>600</v>
      </c>
      <c r="E4" t="s">
        <v>532</v>
      </c>
      <c r="F4" s="2">
        <f t="shared" ref="F4:F26" si="0">A4/SUM($A$3:$A$26)</f>
        <v>3.731017891444045E-3</v>
      </c>
    </row>
    <row r="5" spans="1:6" x14ac:dyDescent="0.2">
      <c r="A5" s="8">
        <v>2.53534097134373E-5</v>
      </c>
      <c r="B5" t="s">
        <v>598</v>
      </c>
      <c r="C5" t="s">
        <v>599</v>
      </c>
      <c r="D5" t="s">
        <v>600</v>
      </c>
      <c r="E5" t="s">
        <v>456</v>
      </c>
      <c r="F5" s="2">
        <f t="shared" si="0"/>
        <v>8.239858156867166E-3</v>
      </c>
    </row>
    <row r="6" spans="1:6" x14ac:dyDescent="0.2">
      <c r="A6">
        <v>1.17038188354816E-4</v>
      </c>
      <c r="B6" t="s">
        <v>598</v>
      </c>
      <c r="C6" t="s">
        <v>599</v>
      </c>
      <c r="D6" t="s">
        <v>600</v>
      </c>
      <c r="E6" t="s">
        <v>271</v>
      </c>
      <c r="F6" s="2">
        <f t="shared" si="0"/>
        <v>3.8037411215315405E-2</v>
      </c>
    </row>
    <row r="7" spans="1:6" x14ac:dyDescent="0.2">
      <c r="A7" s="12">
        <v>1.7317371178019299E-4</v>
      </c>
      <c r="B7" s="12" t="s">
        <v>598</v>
      </c>
      <c r="C7" s="12" t="s">
        <v>599</v>
      </c>
      <c r="D7" s="12" t="s">
        <v>600</v>
      </c>
      <c r="E7" s="12" t="s">
        <v>254</v>
      </c>
      <c r="F7" s="19">
        <f t="shared" si="0"/>
        <v>5.6281456328563025E-2</v>
      </c>
    </row>
    <row r="8" spans="1:6" x14ac:dyDescent="0.2">
      <c r="A8" s="8">
        <v>1.26475182760815E-5</v>
      </c>
      <c r="B8" t="s">
        <v>598</v>
      </c>
      <c r="C8" t="s">
        <v>599</v>
      </c>
      <c r="D8" t="s">
        <v>600</v>
      </c>
      <c r="E8" t="s">
        <v>575</v>
      </c>
      <c r="F8" s="2">
        <f t="shared" si="0"/>
        <v>4.1104434397265096E-3</v>
      </c>
    </row>
    <row r="9" spans="1:6" x14ac:dyDescent="0.2">
      <c r="A9" s="8">
        <v>4.3877159557790503E-5</v>
      </c>
      <c r="B9" t="s">
        <v>598</v>
      </c>
      <c r="C9" t="s">
        <v>599</v>
      </c>
      <c r="D9" t="s">
        <v>600</v>
      </c>
      <c r="E9" t="s">
        <v>602</v>
      </c>
      <c r="F9" s="2">
        <f t="shared" si="0"/>
        <v>1.426007685628199E-2</v>
      </c>
    </row>
    <row r="10" spans="1:6" x14ac:dyDescent="0.2">
      <c r="A10" s="8">
        <v>3.3875988548075902E-7</v>
      </c>
      <c r="B10" t="s">
        <v>598</v>
      </c>
      <c r="C10" t="s">
        <v>599</v>
      </c>
      <c r="D10" t="s">
        <v>600</v>
      </c>
      <c r="E10" t="s">
        <v>580</v>
      </c>
      <c r="F10" s="2">
        <f t="shared" si="0"/>
        <v>1.1009696278124728E-4</v>
      </c>
    </row>
    <row r="11" spans="1:6" x14ac:dyDescent="0.2">
      <c r="A11" s="8">
        <v>4.2806984934429802E-5</v>
      </c>
      <c r="B11" t="s">
        <v>598</v>
      </c>
      <c r="C11" t="s">
        <v>599</v>
      </c>
      <c r="D11" t="s">
        <v>600</v>
      </c>
      <c r="E11" t="s">
        <v>288</v>
      </c>
      <c r="F11" s="2">
        <f t="shared" si="0"/>
        <v>1.3912270103689761E-2</v>
      </c>
    </row>
    <row r="12" spans="1:6" x14ac:dyDescent="0.2">
      <c r="A12" s="8">
        <v>1.07017462336074E-5</v>
      </c>
      <c r="B12" t="s">
        <v>598</v>
      </c>
      <c r="C12" t="s">
        <v>599</v>
      </c>
      <c r="D12" t="s">
        <v>600</v>
      </c>
      <c r="E12" t="s">
        <v>603</v>
      </c>
      <c r="F12" s="2">
        <f t="shared" si="0"/>
        <v>3.4780675259224233E-3</v>
      </c>
    </row>
    <row r="13" spans="1:6" x14ac:dyDescent="0.2">
      <c r="A13">
        <v>2.12478307038169E-4</v>
      </c>
      <c r="B13" t="s">
        <v>598</v>
      </c>
      <c r="C13" t="s">
        <v>599</v>
      </c>
      <c r="D13" t="s">
        <v>600</v>
      </c>
      <c r="E13" t="s">
        <v>520</v>
      </c>
      <c r="F13" s="2">
        <f t="shared" si="0"/>
        <v>6.9055449787405299E-2</v>
      </c>
    </row>
    <row r="14" spans="1:6" x14ac:dyDescent="0.2">
      <c r="A14">
        <v>1.0516897889572399E-4</v>
      </c>
      <c r="B14" t="s">
        <v>598</v>
      </c>
      <c r="C14" t="s">
        <v>599</v>
      </c>
      <c r="D14" t="s">
        <v>600</v>
      </c>
      <c r="E14" t="s">
        <v>323</v>
      </c>
      <c r="F14" s="2">
        <f t="shared" si="0"/>
        <v>3.4179918141110481E-2</v>
      </c>
    </row>
    <row r="15" spans="1:6" x14ac:dyDescent="0.2">
      <c r="A15" s="8">
        <v>1.7657881285452299E-5</v>
      </c>
      <c r="B15" t="s">
        <v>598</v>
      </c>
      <c r="C15" t="s">
        <v>599</v>
      </c>
      <c r="D15" t="s">
        <v>600</v>
      </c>
      <c r="E15" t="s">
        <v>604</v>
      </c>
      <c r="F15" s="2">
        <f t="shared" si="0"/>
        <v>5.7388114177720278E-3</v>
      </c>
    </row>
    <row r="16" spans="1:6" x14ac:dyDescent="0.2">
      <c r="A16" s="8">
        <v>1.6149907952534799E-5</v>
      </c>
      <c r="B16" t="s">
        <v>598</v>
      </c>
      <c r="C16" t="s">
        <v>599</v>
      </c>
      <c r="D16" t="s">
        <v>600</v>
      </c>
      <c r="E16" t="s">
        <v>287</v>
      </c>
      <c r="F16" s="2">
        <f t="shared" si="0"/>
        <v>5.2487200845738376E-3</v>
      </c>
    </row>
    <row r="17" spans="1:6" x14ac:dyDescent="0.2">
      <c r="A17" s="8">
        <v>7.4657259452141604E-6</v>
      </c>
      <c r="B17" t="s">
        <v>598</v>
      </c>
      <c r="C17" t="s">
        <v>599</v>
      </c>
      <c r="D17" t="s">
        <v>600</v>
      </c>
      <c r="E17" t="s">
        <v>605</v>
      </c>
      <c r="F17" s="2">
        <f t="shared" si="0"/>
        <v>2.4263609321946151E-3</v>
      </c>
    </row>
    <row r="18" spans="1:6" x14ac:dyDescent="0.2">
      <c r="A18" s="8">
        <v>8.8240762126199601E-5</v>
      </c>
      <c r="B18" t="s">
        <v>598</v>
      </c>
      <c r="C18" t="s">
        <v>599</v>
      </c>
      <c r="D18" t="s">
        <v>600</v>
      </c>
      <c r="E18" t="s">
        <v>585</v>
      </c>
      <c r="F18" s="2">
        <f t="shared" si="0"/>
        <v>2.8678247691015023E-2</v>
      </c>
    </row>
    <row r="19" spans="1:6" x14ac:dyDescent="0.2">
      <c r="A19" s="8">
        <v>4.3974448159914198E-5</v>
      </c>
      <c r="B19" t="s">
        <v>598</v>
      </c>
      <c r="C19" t="s">
        <v>599</v>
      </c>
      <c r="D19" t="s">
        <v>600</v>
      </c>
      <c r="E19" t="s">
        <v>548</v>
      </c>
      <c r="F19" s="2">
        <f t="shared" si="0"/>
        <v>1.4291695651972192E-2</v>
      </c>
    </row>
    <row r="20" spans="1:6" x14ac:dyDescent="0.2">
      <c r="A20" s="8">
        <v>1.81890937681625E-5</v>
      </c>
      <c r="B20" t="s">
        <v>598</v>
      </c>
      <c r="C20" t="s">
        <v>599</v>
      </c>
      <c r="D20" t="s">
        <v>600</v>
      </c>
      <c r="E20" t="s">
        <v>606</v>
      </c>
      <c r="F20" s="2">
        <f t="shared" si="0"/>
        <v>5.9114554746528443E-3</v>
      </c>
    </row>
    <row r="21" spans="1:6" x14ac:dyDescent="0.2">
      <c r="A21" s="8">
        <v>4.0763924289831998E-5</v>
      </c>
      <c r="B21" t="s">
        <v>598</v>
      </c>
      <c r="C21" t="s">
        <v>599</v>
      </c>
      <c r="D21" t="s">
        <v>600</v>
      </c>
      <c r="E21" t="s">
        <v>553</v>
      </c>
      <c r="F21" s="2">
        <f t="shared" si="0"/>
        <v>1.324827539419547E-2</v>
      </c>
    </row>
    <row r="22" spans="1:6" x14ac:dyDescent="0.2">
      <c r="A22">
        <v>1.0289707505270499E-3</v>
      </c>
      <c r="B22" t="s">
        <v>598</v>
      </c>
      <c r="C22" t="s">
        <v>599</v>
      </c>
      <c r="D22" t="s">
        <v>600</v>
      </c>
      <c r="E22" t="s">
        <v>256</v>
      </c>
      <c r="F22" s="2">
        <f t="shared" si="0"/>
        <v>0.33441549392129305</v>
      </c>
    </row>
    <row r="23" spans="1:6" x14ac:dyDescent="0.2">
      <c r="A23">
        <v>1.08184925561559E-4</v>
      </c>
      <c r="B23" t="s">
        <v>598</v>
      </c>
      <c r="C23" t="s">
        <v>599</v>
      </c>
      <c r="D23" t="s">
        <v>600</v>
      </c>
      <c r="E23" t="s">
        <v>596</v>
      </c>
      <c r="F23" s="2">
        <f t="shared" si="0"/>
        <v>3.5160100807506867E-2</v>
      </c>
    </row>
    <row r="24" spans="1:6" x14ac:dyDescent="0.2">
      <c r="A24" s="8">
        <v>4.2028676117440102E-5</v>
      </c>
      <c r="B24" t="s">
        <v>598</v>
      </c>
      <c r="C24" t="s">
        <v>599</v>
      </c>
      <c r="D24" t="s">
        <v>600</v>
      </c>
      <c r="E24" t="s">
        <v>558</v>
      </c>
      <c r="F24" s="2">
        <f t="shared" si="0"/>
        <v>1.3659319738168106E-2</v>
      </c>
    </row>
    <row r="25" spans="1:6" x14ac:dyDescent="0.2">
      <c r="A25">
        <v>8.2364530557927902E-4</v>
      </c>
      <c r="B25" t="s">
        <v>598</v>
      </c>
      <c r="C25" t="s">
        <v>599</v>
      </c>
      <c r="D25" t="s">
        <v>600</v>
      </c>
      <c r="E25" t="s">
        <v>277</v>
      </c>
      <c r="F25" s="2">
        <f t="shared" si="0"/>
        <v>0.26768472431326712</v>
      </c>
    </row>
    <row r="26" spans="1:6" x14ac:dyDescent="0.2">
      <c r="A26" s="8">
        <v>2.5295036552163E-5</v>
      </c>
      <c r="B26" t="s">
        <v>598</v>
      </c>
      <c r="C26" t="s">
        <v>599</v>
      </c>
      <c r="D26" t="s">
        <v>600</v>
      </c>
      <c r="E26" t="s">
        <v>525</v>
      </c>
      <c r="F26" s="2">
        <f t="shared" si="0"/>
        <v>8.2208868794530193E-3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0"/>
  <sheetViews>
    <sheetView topLeftCell="A61" workbookViewId="0">
      <selection activeCell="F31" sqref="F31"/>
    </sheetView>
  </sheetViews>
  <sheetFormatPr baseColWidth="10" defaultColWidth="8.83203125" defaultRowHeight="15" x14ac:dyDescent="0.2"/>
  <cols>
    <col min="1" max="1" width="12" bestFit="1" customWidth="1"/>
    <col min="2" max="2" width="12.83203125" bestFit="1" customWidth="1"/>
    <col min="3" max="3" width="25.83203125" bestFit="1" customWidth="1"/>
    <col min="4" max="4" width="41.5" bestFit="1" customWidth="1"/>
  </cols>
  <sheetData>
    <row r="1" spans="1:6" x14ac:dyDescent="0.2">
      <c r="A1" s="18" t="s">
        <v>573</v>
      </c>
      <c r="F1" t="s">
        <v>567</v>
      </c>
    </row>
    <row r="2" spans="1:6" x14ac:dyDescent="0.2">
      <c r="A2" s="8">
        <v>5.18422770141076E-6</v>
      </c>
      <c r="B2" t="s">
        <v>528</v>
      </c>
      <c r="C2" t="s">
        <v>529</v>
      </c>
      <c r="D2" t="s">
        <v>530</v>
      </c>
      <c r="E2" s="18" t="s">
        <v>531</v>
      </c>
      <c r="F2" s="2">
        <f t="shared" ref="F2:F47" si="0">A2/$A$49</f>
        <v>2.7700922796744683E-4</v>
      </c>
    </row>
    <row r="3" spans="1:6" x14ac:dyDescent="0.2">
      <c r="A3">
        <v>1.7720990156270999E-4</v>
      </c>
      <c r="B3" t="s">
        <v>528</v>
      </c>
      <c r="C3" t="s">
        <v>529</v>
      </c>
      <c r="D3" t="s">
        <v>530</v>
      </c>
      <c r="E3" s="18" t="s">
        <v>308</v>
      </c>
      <c r="F3" s="2">
        <f t="shared" si="0"/>
        <v>9.4688699739626098E-3</v>
      </c>
    </row>
    <row r="4" spans="1:6" x14ac:dyDescent="0.2">
      <c r="A4" s="8">
        <v>1.72595692845473E-5</v>
      </c>
      <c r="B4" t="s">
        <v>528</v>
      </c>
      <c r="C4" t="s">
        <v>529</v>
      </c>
      <c r="D4" t="s">
        <v>530</v>
      </c>
      <c r="E4" s="18" t="s">
        <v>532</v>
      </c>
      <c r="F4" s="2">
        <f t="shared" si="0"/>
        <v>9.2223186131698228E-4</v>
      </c>
    </row>
    <row r="5" spans="1:6" x14ac:dyDescent="0.2">
      <c r="A5" s="8">
        <v>5.6647808540594301E-5</v>
      </c>
      <c r="B5" t="s">
        <v>528</v>
      </c>
      <c r="C5" t="s">
        <v>529</v>
      </c>
      <c r="D5" t="s">
        <v>530</v>
      </c>
      <c r="E5" s="18" t="s">
        <v>533</v>
      </c>
      <c r="F5" s="2">
        <f t="shared" si="0"/>
        <v>3.0268666064971615E-3</v>
      </c>
    </row>
    <row r="6" spans="1:6" x14ac:dyDescent="0.2">
      <c r="A6" s="8">
        <v>1.46041703514608E-5</v>
      </c>
      <c r="B6" t="s">
        <v>528</v>
      </c>
      <c r="C6" t="s">
        <v>529</v>
      </c>
      <c r="D6" t="s">
        <v>530</v>
      </c>
      <c r="E6" s="18" t="s">
        <v>534</v>
      </c>
      <c r="F6" s="2">
        <f t="shared" si="0"/>
        <v>7.8034573077535776E-4</v>
      </c>
    </row>
    <row r="7" spans="1:6" x14ac:dyDescent="0.2">
      <c r="A7" s="8">
        <v>3.0525200605375901E-6</v>
      </c>
      <c r="B7" t="s">
        <v>528</v>
      </c>
      <c r="C7" t="s">
        <v>529</v>
      </c>
      <c r="D7" t="s">
        <v>530</v>
      </c>
      <c r="E7" s="18" t="s">
        <v>535</v>
      </c>
      <c r="F7" s="2">
        <f t="shared" si="0"/>
        <v>1.6310553355797992E-4</v>
      </c>
    </row>
    <row r="8" spans="1:6" x14ac:dyDescent="0.2">
      <c r="A8" s="8">
        <v>3.9115232251788498E-6</v>
      </c>
      <c r="B8" t="s">
        <v>528</v>
      </c>
      <c r="C8" t="s">
        <v>529</v>
      </c>
      <c r="D8" t="s">
        <v>530</v>
      </c>
      <c r="E8" s="18" t="s">
        <v>536</v>
      </c>
      <c r="F8" s="2">
        <f t="shared" si="0"/>
        <v>2.0900471414260513E-4</v>
      </c>
    </row>
    <row r="9" spans="1:6" x14ac:dyDescent="0.2">
      <c r="A9" s="8">
        <v>9.2987365456018393E-6</v>
      </c>
      <c r="B9" t="s">
        <v>528</v>
      </c>
      <c r="C9" t="s">
        <v>529</v>
      </c>
      <c r="D9" t="s">
        <v>530</v>
      </c>
      <c r="E9" s="18" t="s">
        <v>537</v>
      </c>
      <c r="F9" s="2">
        <f t="shared" si="0"/>
        <v>4.9686008792956728E-4</v>
      </c>
    </row>
    <row r="10" spans="1:6" x14ac:dyDescent="0.2">
      <c r="A10" s="8">
        <v>3.9388285666495101E-5</v>
      </c>
      <c r="B10" t="s">
        <v>528</v>
      </c>
      <c r="C10" t="s">
        <v>529</v>
      </c>
      <c r="D10" t="s">
        <v>530</v>
      </c>
      <c r="E10" s="18" t="s">
        <v>538</v>
      </c>
      <c r="F10" s="2">
        <f t="shared" si="0"/>
        <v>2.1046372250331366E-3</v>
      </c>
    </row>
    <row r="11" spans="1:6" x14ac:dyDescent="0.2">
      <c r="A11">
        <v>1.45139666723171E-4</v>
      </c>
      <c r="B11" t="s">
        <v>528</v>
      </c>
      <c r="C11" t="s">
        <v>529</v>
      </c>
      <c r="D11" t="s">
        <v>530</v>
      </c>
      <c r="E11" s="18" t="s">
        <v>288</v>
      </c>
      <c r="F11" s="2">
        <f t="shared" si="0"/>
        <v>7.7552587081576915E-3</v>
      </c>
    </row>
    <row r="12" spans="1:6" x14ac:dyDescent="0.2">
      <c r="A12" s="8">
        <v>4.7393544756210002E-5</v>
      </c>
      <c r="B12" t="s">
        <v>528</v>
      </c>
      <c r="C12" t="s">
        <v>529</v>
      </c>
      <c r="D12" t="s">
        <v>530</v>
      </c>
      <c r="E12" s="18" t="s">
        <v>358</v>
      </c>
      <c r="F12" s="2">
        <f t="shared" si="0"/>
        <v>2.5323828349564557E-3</v>
      </c>
    </row>
    <row r="13" spans="1:6" x14ac:dyDescent="0.2">
      <c r="A13" s="8">
        <v>1.3282829943002301E-5</v>
      </c>
      <c r="B13" t="s">
        <v>528</v>
      </c>
      <c r="C13" t="s">
        <v>529</v>
      </c>
      <c r="D13" t="s">
        <v>530</v>
      </c>
      <c r="E13" s="18" t="s">
        <v>539</v>
      </c>
      <c r="F13" s="2">
        <f t="shared" si="0"/>
        <v>7.0974244953258452E-4</v>
      </c>
    </row>
    <row r="14" spans="1:6" x14ac:dyDescent="0.2">
      <c r="A14">
        <v>6.9261748437397395E-4</v>
      </c>
      <c r="B14" t="s">
        <v>528</v>
      </c>
      <c r="C14" t="s">
        <v>529</v>
      </c>
      <c r="D14" t="s">
        <v>530</v>
      </c>
      <c r="E14" s="18" t="s">
        <v>323</v>
      </c>
      <c r="F14" s="2">
        <f t="shared" si="0"/>
        <v>3.7008682039752869E-2</v>
      </c>
    </row>
    <row r="15" spans="1:6" x14ac:dyDescent="0.2">
      <c r="A15" s="8">
        <v>1.17138105903893E-5</v>
      </c>
      <c r="B15" t="s">
        <v>528</v>
      </c>
      <c r="C15" t="s">
        <v>529</v>
      </c>
      <c r="D15" t="s">
        <v>530</v>
      </c>
      <c r="E15" s="18" t="s">
        <v>540</v>
      </c>
      <c r="F15" s="2">
        <f t="shared" si="0"/>
        <v>6.2590492067268581E-4</v>
      </c>
    </row>
    <row r="16" spans="1:6" x14ac:dyDescent="0.2">
      <c r="A16" s="8">
        <v>9.2128404451537104E-6</v>
      </c>
      <c r="B16" t="s">
        <v>528</v>
      </c>
      <c r="C16" t="s">
        <v>529</v>
      </c>
      <c r="D16" t="s">
        <v>530</v>
      </c>
      <c r="E16" s="18" t="s">
        <v>541</v>
      </c>
      <c r="F16" s="2">
        <f t="shared" si="0"/>
        <v>4.9227039514580405E-4</v>
      </c>
    </row>
    <row r="17" spans="1:6" x14ac:dyDescent="0.2">
      <c r="A17" s="8">
        <v>1.0511415236791899E-5</v>
      </c>
      <c r="B17" t="s">
        <v>528</v>
      </c>
      <c r="C17" t="s">
        <v>529</v>
      </c>
      <c r="D17" t="s">
        <v>530</v>
      </c>
      <c r="E17" s="18" t="s">
        <v>542</v>
      </c>
      <c r="F17" s="2">
        <f t="shared" si="0"/>
        <v>5.6165723947592381E-4</v>
      </c>
    </row>
    <row r="18" spans="1:6" x14ac:dyDescent="0.2">
      <c r="A18">
        <v>4.3268000244512598E-4</v>
      </c>
      <c r="B18" t="s">
        <v>528</v>
      </c>
      <c r="C18" t="s">
        <v>529</v>
      </c>
      <c r="D18" t="s">
        <v>530</v>
      </c>
      <c r="E18" s="18" t="s">
        <v>543</v>
      </c>
      <c r="F18" s="2">
        <f t="shared" si="0"/>
        <v>2.3119423053439839E-2</v>
      </c>
    </row>
    <row r="19" spans="1:6" x14ac:dyDescent="0.2">
      <c r="A19" s="8">
        <v>8.0480490566565602E-5</v>
      </c>
      <c r="B19" t="s">
        <v>528</v>
      </c>
      <c r="C19" t="s">
        <v>529</v>
      </c>
      <c r="D19" t="s">
        <v>530</v>
      </c>
      <c r="E19" s="18" t="s">
        <v>287</v>
      </c>
      <c r="F19" s="2">
        <f t="shared" si="0"/>
        <v>4.3003200943930384E-3</v>
      </c>
    </row>
    <row r="20" spans="1:6" x14ac:dyDescent="0.2">
      <c r="A20" s="8">
        <v>1.1276019797868099E-5</v>
      </c>
      <c r="B20" t="s">
        <v>528</v>
      </c>
      <c r="C20" t="s">
        <v>529</v>
      </c>
      <c r="D20" t="s">
        <v>530</v>
      </c>
      <c r="E20" s="18" t="s">
        <v>544</v>
      </c>
      <c r="F20" s="2">
        <f t="shared" si="0"/>
        <v>6.0251241238942635E-4</v>
      </c>
    </row>
    <row r="21" spans="1:6" x14ac:dyDescent="0.2">
      <c r="A21" s="8">
        <v>1.1824813465575899E-5</v>
      </c>
      <c r="B21" t="s">
        <v>528</v>
      </c>
      <c r="C21" t="s">
        <v>529</v>
      </c>
      <c r="D21" t="s">
        <v>530</v>
      </c>
      <c r="E21" s="18" t="s">
        <v>545</v>
      </c>
      <c r="F21" s="2">
        <f t="shared" si="0"/>
        <v>6.3183614563590252E-4</v>
      </c>
    </row>
    <row r="22" spans="1:6" x14ac:dyDescent="0.2">
      <c r="A22" s="8">
        <v>1.7643223724858101E-5</v>
      </c>
      <c r="B22" t="s">
        <v>528</v>
      </c>
      <c r="C22" t="s">
        <v>529</v>
      </c>
      <c r="D22" t="s">
        <v>530</v>
      </c>
      <c r="E22" s="18" t="s">
        <v>546</v>
      </c>
      <c r="F22" s="2">
        <f t="shared" si="0"/>
        <v>9.4273169782837965E-4</v>
      </c>
    </row>
    <row r="23" spans="1:6" x14ac:dyDescent="0.2">
      <c r="A23" s="8">
        <v>6.5825194490735502E-6</v>
      </c>
      <c r="B23" t="s">
        <v>528</v>
      </c>
      <c r="C23" t="s">
        <v>529</v>
      </c>
      <c r="D23" t="s">
        <v>530</v>
      </c>
      <c r="E23" s="18" t="s">
        <v>547</v>
      </c>
      <c r="F23" s="2">
        <f t="shared" si="0"/>
        <v>3.5172425589492703E-4</v>
      </c>
    </row>
    <row r="24" spans="1:6" x14ac:dyDescent="0.2">
      <c r="A24">
        <v>1.29926775697629E-4</v>
      </c>
      <c r="B24" t="s">
        <v>528</v>
      </c>
      <c r="C24" t="s">
        <v>529</v>
      </c>
      <c r="D24" t="s">
        <v>530</v>
      </c>
      <c r="E24" s="18" t="s">
        <v>548</v>
      </c>
      <c r="F24" s="2">
        <f t="shared" si="0"/>
        <v>6.9423871599053793E-3</v>
      </c>
    </row>
    <row r="25" spans="1:6" x14ac:dyDescent="0.2">
      <c r="A25" s="8">
        <v>6.0285987427387E-6</v>
      </c>
      <c r="B25" t="s">
        <v>528</v>
      </c>
      <c r="C25" t="s">
        <v>529</v>
      </c>
      <c r="D25" t="s">
        <v>530</v>
      </c>
      <c r="E25" s="18" t="s">
        <v>549</v>
      </c>
      <c r="F25" s="2">
        <f t="shared" si="0"/>
        <v>3.2212656920858711E-4</v>
      </c>
    </row>
    <row r="26" spans="1:6" x14ac:dyDescent="0.2">
      <c r="A26" s="8">
        <v>3.47306156685168E-5</v>
      </c>
      <c r="B26" t="s">
        <v>528</v>
      </c>
      <c r="C26" t="s">
        <v>529</v>
      </c>
      <c r="D26" t="s">
        <v>530</v>
      </c>
      <c r="E26" s="18" t="s">
        <v>550</v>
      </c>
      <c r="F26" s="2">
        <f t="shared" si="0"/>
        <v>1.8557635943637107E-3</v>
      </c>
    </row>
    <row r="27" spans="1:6" x14ac:dyDescent="0.2">
      <c r="A27" s="8">
        <v>2.9171022558906799E-5</v>
      </c>
      <c r="B27" t="s">
        <v>528</v>
      </c>
      <c r="C27" t="s">
        <v>529</v>
      </c>
      <c r="D27" t="s">
        <v>530</v>
      </c>
      <c r="E27" s="18" t="s">
        <v>551</v>
      </c>
      <c r="F27" s="2">
        <f t="shared" si="0"/>
        <v>1.55869743835997E-3</v>
      </c>
    </row>
    <row r="28" spans="1:6" x14ac:dyDescent="0.2">
      <c r="A28" s="8">
        <v>8.0042608558768106E-5</v>
      </c>
      <c r="B28" t="s">
        <v>528</v>
      </c>
      <c r="C28" t="s">
        <v>529</v>
      </c>
      <c r="D28" t="s">
        <v>530</v>
      </c>
      <c r="E28" s="18" t="s">
        <v>523</v>
      </c>
      <c r="F28" s="2">
        <f t="shared" si="0"/>
        <v>4.2769227121970729E-3</v>
      </c>
    </row>
    <row r="29" spans="1:6" x14ac:dyDescent="0.2">
      <c r="A29">
        <v>1.01112698137701E-4</v>
      </c>
      <c r="B29" t="s">
        <v>528</v>
      </c>
      <c r="C29" t="s">
        <v>529</v>
      </c>
      <c r="D29" t="s">
        <v>530</v>
      </c>
      <c r="E29" s="18" t="s">
        <v>552</v>
      </c>
      <c r="F29" s="2">
        <f t="shared" si="0"/>
        <v>5.4027623904729432E-3</v>
      </c>
    </row>
    <row r="30" spans="1:6" x14ac:dyDescent="0.2">
      <c r="A30" s="8">
        <v>1.50080362283606E-6</v>
      </c>
      <c r="B30" t="s">
        <v>528</v>
      </c>
      <c r="C30" t="s">
        <v>529</v>
      </c>
      <c r="D30" t="s">
        <v>530</v>
      </c>
      <c r="E30" s="18" t="s">
        <v>553</v>
      </c>
      <c r="F30" s="2">
        <f t="shared" si="0"/>
        <v>8.0192552649535775E-5</v>
      </c>
    </row>
    <row r="31" spans="1:6" x14ac:dyDescent="0.2">
      <c r="A31" s="12">
        <v>7.9319875498214804E-4</v>
      </c>
      <c r="B31" s="12" t="s">
        <v>528</v>
      </c>
      <c r="C31" s="12" t="s">
        <v>529</v>
      </c>
      <c r="D31" s="12" t="s">
        <v>530</v>
      </c>
      <c r="E31" s="12" t="s">
        <v>313</v>
      </c>
      <c r="F31" s="19">
        <f t="shared" si="0"/>
        <v>4.2383048623144487E-2</v>
      </c>
    </row>
    <row r="32" spans="1:6" x14ac:dyDescent="0.2">
      <c r="A32" s="8">
        <v>3.7406997793524603E-5</v>
      </c>
      <c r="B32" t="s">
        <v>528</v>
      </c>
      <c r="C32" t="s">
        <v>529</v>
      </c>
      <c r="D32" t="s">
        <v>530</v>
      </c>
      <c r="E32" s="18" t="s">
        <v>554</v>
      </c>
      <c r="F32" s="2">
        <f t="shared" si="0"/>
        <v>1.9987709213745474E-3</v>
      </c>
    </row>
    <row r="33" spans="1:9" x14ac:dyDescent="0.2">
      <c r="A33" s="8">
        <v>1.1911292025816901E-5</v>
      </c>
      <c r="B33" t="s">
        <v>528</v>
      </c>
      <c r="C33" t="s">
        <v>529</v>
      </c>
      <c r="D33" t="s">
        <v>530</v>
      </c>
      <c r="E33" s="18" t="s">
        <v>555</v>
      </c>
      <c r="F33" s="2">
        <f t="shared" si="0"/>
        <v>6.3645696103750552E-4</v>
      </c>
    </row>
    <row r="34" spans="1:9" x14ac:dyDescent="0.2">
      <c r="A34" s="8">
        <v>9.12119603817503E-5</v>
      </c>
      <c r="B34" t="s">
        <v>528</v>
      </c>
      <c r="C34" t="s">
        <v>529</v>
      </c>
      <c r="D34" t="s">
        <v>530</v>
      </c>
      <c r="E34" s="18" t="s">
        <v>524</v>
      </c>
      <c r="F34" s="2">
        <f t="shared" si="0"/>
        <v>4.8737355266764851E-3</v>
      </c>
    </row>
    <row r="35" spans="1:9" x14ac:dyDescent="0.2">
      <c r="A35" s="8">
        <v>1.40076939880665E-5</v>
      </c>
      <c r="B35" t="s">
        <v>528</v>
      </c>
      <c r="C35" t="s">
        <v>529</v>
      </c>
      <c r="D35" t="s">
        <v>530</v>
      </c>
      <c r="E35" s="18" t="s">
        <v>556</v>
      </c>
      <c r="F35" s="2">
        <f t="shared" si="0"/>
        <v>7.4847416447055941E-4</v>
      </c>
    </row>
    <row r="36" spans="1:9" x14ac:dyDescent="0.2">
      <c r="A36" s="8">
        <v>1.4112911559887701E-5</v>
      </c>
      <c r="B36" t="s">
        <v>528</v>
      </c>
      <c r="C36" t="s">
        <v>529</v>
      </c>
      <c r="D36" t="s">
        <v>530</v>
      </c>
      <c r="E36" s="18" t="s">
        <v>557</v>
      </c>
      <c r="F36" s="2">
        <f t="shared" si="0"/>
        <v>7.5409626288472993E-4</v>
      </c>
    </row>
    <row r="37" spans="1:9" x14ac:dyDescent="0.2">
      <c r="A37">
        <v>2.1160439942181201E-4</v>
      </c>
      <c r="B37" t="s">
        <v>528</v>
      </c>
      <c r="C37" t="s">
        <v>529</v>
      </c>
      <c r="D37" t="s">
        <v>530</v>
      </c>
      <c r="E37" s="18" t="s">
        <v>558</v>
      </c>
      <c r="F37" s="2">
        <f t="shared" si="0"/>
        <v>1.130667376018233E-2</v>
      </c>
    </row>
    <row r="38" spans="1:9" x14ac:dyDescent="0.2">
      <c r="A38">
        <v>1.82945173998654E-4</v>
      </c>
      <c r="B38" t="s">
        <v>528</v>
      </c>
      <c r="C38" t="s">
        <v>529</v>
      </c>
      <c r="D38" t="s">
        <v>530</v>
      </c>
      <c r="E38" s="18" t="s">
        <v>559</v>
      </c>
      <c r="F38" s="2">
        <f t="shared" si="0"/>
        <v>9.7753232165992115E-3</v>
      </c>
    </row>
    <row r="39" spans="1:9" x14ac:dyDescent="0.2">
      <c r="A39" s="8">
        <v>5.0175760927542703E-5</v>
      </c>
      <c r="B39" t="s">
        <v>528</v>
      </c>
      <c r="C39" t="s">
        <v>529</v>
      </c>
      <c r="D39" t="s">
        <v>530</v>
      </c>
      <c r="E39" s="18" t="s">
        <v>560</v>
      </c>
      <c r="F39" s="2">
        <f t="shared" si="0"/>
        <v>2.6810452005098994E-3</v>
      </c>
    </row>
    <row r="40" spans="1:9" x14ac:dyDescent="0.2">
      <c r="A40">
        <v>1.7676522721266601E-4</v>
      </c>
      <c r="B40" t="s">
        <v>528</v>
      </c>
      <c r="C40" t="s">
        <v>529</v>
      </c>
      <c r="D40" t="s">
        <v>530</v>
      </c>
      <c r="E40" s="18" t="s">
        <v>561</v>
      </c>
      <c r="F40" s="2">
        <f t="shared" si="0"/>
        <v>9.4451096560334621E-3</v>
      </c>
    </row>
    <row r="41" spans="1:9" x14ac:dyDescent="0.2">
      <c r="A41" s="8">
        <v>1.9746046200530898E-6</v>
      </c>
      <c r="B41" t="s">
        <v>528</v>
      </c>
      <c r="C41" t="s">
        <v>529</v>
      </c>
      <c r="D41" t="s">
        <v>530</v>
      </c>
      <c r="E41" s="18" t="s">
        <v>562</v>
      </c>
      <c r="F41" s="2">
        <f t="shared" si="0"/>
        <v>1.0550919690371855E-4</v>
      </c>
    </row>
    <row r="42" spans="1:9" x14ac:dyDescent="0.2">
      <c r="A42" s="12">
        <v>6.18602783723595E-3</v>
      </c>
      <c r="B42" s="12" t="s">
        <v>528</v>
      </c>
      <c r="C42" s="12" t="s">
        <v>529</v>
      </c>
      <c r="D42" s="12" t="s">
        <v>563</v>
      </c>
      <c r="E42" s="12" t="s">
        <v>254</v>
      </c>
      <c r="F42" s="19">
        <f t="shared" si="0"/>
        <v>0.33053848983360717</v>
      </c>
      <c r="G42" s="12"/>
      <c r="H42" s="12"/>
      <c r="I42" s="12"/>
    </row>
    <row r="43" spans="1:9" x14ac:dyDescent="0.2">
      <c r="A43">
        <v>5.8529392716984304E-4</v>
      </c>
      <c r="B43" t="s">
        <v>528</v>
      </c>
      <c r="C43" t="s">
        <v>529</v>
      </c>
      <c r="D43" t="s">
        <v>563</v>
      </c>
      <c r="E43" s="18" t="s">
        <v>564</v>
      </c>
      <c r="F43" s="2">
        <f t="shared" si="0"/>
        <v>3.1274054350512628E-2</v>
      </c>
    </row>
    <row r="44" spans="1:9" x14ac:dyDescent="0.2">
      <c r="A44">
        <v>2.59370328308192E-3</v>
      </c>
      <c r="B44" t="s">
        <v>528</v>
      </c>
      <c r="C44" t="s">
        <v>529</v>
      </c>
      <c r="D44" t="s">
        <v>563</v>
      </c>
      <c r="E44" s="18" t="s">
        <v>335</v>
      </c>
      <c r="F44" s="2">
        <f t="shared" si="0"/>
        <v>0.13858954224322328</v>
      </c>
    </row>
    <row r="45" spans="1:9" x14ac:dyDescent="0.2">
      <c r="A45">
        <v>1.16624055878598E-3</v>
      </c>
      <c r="B45" t="s">
        <v>528</v>
      </c>
      <c r="C45" t="s">
        <v>529</v>
      </c>
      <c r="D45" t="s">
        <v>563</v>
      </c>
      <c r="E45" s="18" t="s">
        <v>565</v>
      </c>
      <c r="F45" s="2">
        <f t="shared" si="0"/>
        <v>6.2315819331337514E-2</v>
      </c>
    </row>
    <row r="46" spans="1:9" x14ac:dyDescent="0.2">
      <c r="A46">
        <v>6.6142635249964699E-4</v>
      </c>
      <c r="B46" t="s">
        <v>528</v>
      </c>
      <c r="C46" t="s">
        <v>529</v>
      </c>
      <c r="D46" t="s">
        <v>563</v>
      </c>
      <c r="E46" s="18" t="s">
        <v>566</v>
      </c>
      <c r="F46" s="2">
        <f t="shared" si="0"/>
        <v>3.5342043948685432E-2</v>
      </c>
    </row>
    <row r="47" spans="1:9" x14ac:dyDescent="0.2">
      <c r="A47">
        <v>3.7375647368713201E-3</v>
      </c>
      <c r="B47" t="s">
        <v>528</v>
      </c>
      <c r="C47" t="s">
        <v>529</v>
      </c>
      <c r="D47" t="s">
        <v>563</v>
      </c>
      <c r="E47" s="18" t="s">
        <v>253</v>
      </c>
      <c r="F47" s="2">
        <f t="shared" si="0"/>
        <v>0.19970957717720145</v>
      </c>
    </row>
    <row r="49" spans="1:6" x14ac:dyDescent="0.2">
      <c r="A49" s="8">
        <f>SUM(A2:A47)</f>
        <v>1.8714999999999975E-2</v>
      </c>
      <c r="F49" s="16">
        <f>SUM(F2:F47)</f>
        <v>1</v>
      </c>
    </row>
    <row r="52" spans="1:6" x14ac:dyDescent="0.2">
      <c r="A52" s="18" t="s">
        <v>591</v>
      </c>
    </row>
    <row r="53" spans="1:6" x14ac:dyDescent="0.2">
      <c r="A53" s="8">
        <v>4.3799850220559902E-5</v>
      </c>
      <c r="B53" t="s">
        <v>528</v>
      </c>
      <c r="C53" t="s">
        <v>529</v>
      </c>
      <c r="D53" t="s">
        <v>530</v>
      </c>
      <c r="E53" t="s">
        <v>476</v>
      </c>
      <c r="F53" s="2">
        <f>A53/$A$80</f>
        <v>6.1024779799131984E-2</v>
      </c>
    </row>
    <row r="54" spans="1:6" x14ac:dyDescent="0.2">
      <c r="A54" s="8">
        <v>7.6172783903909099E-5</v>
      </c>
      <c r="B54" t="s">
        <v>528</v>
      </c>
      <c r="C54" t="s">
        <v>529</v>
      </c>
      <c r="D54" t="s">
        <v>530</v>
      </c>
      <c r="E54" t="s">
        <v>308</v>
      </c>
      <c r="F54" s="2">
        <f t="shared" ref="F54:F78" si="1">A54/$A$80</f>
        <v>0.1061288415603056</v>
      </c>
    </row>
    <row r="55" spans="1:6" x14ac:dyDescent="0.2">
      <c r="A55" s="8">
        <v>3.14703421323186E-6</v>
      </c>
      <c r="B55" t="s">
        <v>528</v>
      </c>
      <c r="C55" t="s">
        <v>529</v>
      </c>
      <c r="D55" t="s">
        <v>530</v>
      </c>
      <c r="E55" t="s">
        <v>574</v>
      </c>
      <c r="F55" s="2">
        <f t="shared" si="1"/>
        <v>4.3846512925439368E-3</v>
      </c>
    </row>
    <row r="56" spans="1:6" x14ac:dyDescent="0.2">
      <c r="A56" s="8">
        <v>2.5074521495186299E-5</v>
      </c>
      <c r="B56" t="s">
        <v>528</v>
      </c>
      <c r="C56" t="s">
        <v>529</v>
      </c>
      <c r="D56" t="s">
        <v>530</v>
      </c>
      <c r="E56" t="s">
        <v>312</v>
      </c>
      <c r="F56" s="2">
        <f t="shared" si="1"/>
        <v>3.4935442589574796E-2</v>
      </c>
    </row>
    <row r="57" spans="1:6" x14ac:dyDescent="0.2">
      <c r="A57" s="8">
        <v>2.44470324239701E-5</v>
      </c>
      <c r="B57" t="s">
        <v>528</v>
      </c>
      <c r="C57" t="s">
        <v>529</v>
      </c>
      <c r="D57" t="s">
        <v>530</v>
      </c>
      <c r="E57" t="s">
        <v>575</v>
      </c>
      <c r="F57" s="2">
        <f t="shared" si="1"/>
        <v>3.4061184294066842E-2</v>
      </c>
    </row>
    <row r="58" spans="1:6" x14ac:dyDescent="0.2">
      <c r="A58" s="8">
        <v>3.9044128958489601E-6</v>
      </c>
      <c r="B58" t="s">
        <v>528</v>
      </c>
      <c r="C58" t="s">
        <v>529</v>
      </c>
      <c r="D58" t="s">
        <v>530</v>
      </c>
      <c r="E58" t="s">
        <v>576</v>
      </c>
      <c r="F58" s="2">
        <f t="shared" si="1"/>
        <v>5.4398801825635158E-3</v>
      </c>
    </row>
    <row r="59" spans="1:6" x14ac:dyDescent="0.2">
      <c r="A59" s="8">
        <v>6.1830163619738697E-6</v>
      </c>
      <c r="B59" t="s">
        <v>528</v>
      </c>
      <c r="C59" t="s">
        <v>529</v>
      </c>
      <c r="D59" t="s">
        <v>530</v>
      </c>
      <c r="E59" t="s">
        <v>577</v>
      </c>
      <c r="F59" s="2">
        <f t="shared" si="1"/>
        <v>8.6145776774088287E-3</v>
      </c>
    </row>
    <row r="60" spans="1:6" x14ac:dyDescent="0.2">
      <c r="A60" s="8">
        <v>2.68887246418778E-7</v>
      </c>
      <c r="B60" t="s">
        <v>528</v>
      </c>
      <c r="C60" t="s">
        <v>529</v>
      </c>
      <c r="D60" t="s">
        <v>530</v>
      </c>
      <c r="E60" t="s">
        <v>578</v>
      </c>
      <c r="F60" s="2">
        <f t="shared" si="1"/>
        <v>3.7463107569711481E-4</v>
      </c>
    </row>
    <row r="61" spans="1:6" x14ac:dyDescent="0.2">
      <c r="A61" s="8">
        <v>5.2463744383394198E-6</v>
      </c>
      <c r="B61" t="s">
        <v>528</v>
      </c>
      <c r="C61" t="s">
        <v>529</v>
      </c>
      <c r="D61" t="s">
        <v>530</v>
      </c>
      <c r="E61" t="s">
        <v>579</v>
      </c>
      <c r="F61" s="2">
        <f t="shared" si="1"/>
        <v>7.3095876636850559E-3</v>
      </c>
    </row>
    <row r="62" spans="1:6" x14ac:dyDescent="0.2">
      <c r="A62" s="8">
        <v>8.2152269524586201E-6</v>
      </c>
      <c r="B62" t="s">
        <v>528</v>
      </c>
      <c r="C62" t="s">
        <v>529</v>
      </c>
      <c r="D62" t="s">
        <v>530</v>
      </c>
      <c r="E62" t="s">
        <v>580</v>
      </c>
      <c r="F62" s="2">
        <f t="shared" si="1"/>
        <v>1.1445984706549363E-2</v>
      </c>
    </row>
    <row r="63" spans="1:6" x14ac:dyDescent="0.2">
      <c r="A63" s="8">
        <v>4.0186373379283E-6</v>
      </c>
      <c r="B63" t="s">
        <v>528</v>
      </c>
      <c r="C63" t="s">
        <v>529</v>
      </c>
      <c r="D63" t="s">
        <v>530</v>
      </c>
      <c r="E63" t="s">
        <v>581</v>
      </c>
      <c r="F63" s="2">
        <f t="shared" si="1"/>
        <v>5.5990250515635109E-3</v>
      </c>
    </row>
    <row r="64" spans="1:6" x14ac:dyDescent="0.2">
      <c r="A64" s="8">
        <v>2.4093194453076801E-6</v>
      </c>
      <c r="B64" t="s">
        <v>528</v>
      </c>
      <c r="C64" t="s">
        <v>529</v>
      </c>
      <c r="D64" t="s">
        <v>530</v>
      </c>
      <c r="E64" t="s">
        <v>582</v>
      </c>
      <c r="F64" s="2">
        <f t="shared" si="1"/>
        <v>3.3568194383151594E-3</v>
      </c>
    </row>
    <row r="65" spans="1:6" x14ac:dyDescent="0.2">
      <c r="A65" s="8">
        <v>2.9209314717589698E-7</v>
      </c>
      <c r="B65" t="s">
        <v>528</v>
      </c>
      <c r="C65" t="s">
        <v>529</v>
      </c>
      <c r="D65" t="s">
        <v>530</v>
      </c>
      <c r="E65" t="s">
        <v>583</v>
      </c>
      <c r="F65" s="2">
        <f t="shared" si="1"/>
        <v>4.0696303520411224E-4</v>
      </c>
    </row>
    <row r="66" spans="1:6" x14ac:dyDescent="0.2">
      <c r="A66" s="8">
        <v>8.1961070003910297E-7</v>
      </c>
      <c r="B66" t="s">
        <v>528</v>
      </c>
      <c r="C66" t="s">
        <v>529</v>
      </c>
      <c r="D66" t="s">
        <v>530</v>
      </c>
      <c r="E66" t="s">
        <v>584</v>
      </c>
      <c r="F66" s="2">
        <f t="shared" si="1"/>
        <v>1.1419345554615759E-3</v>
      </c>
    </row>
    <row r="67" spans="1:6" x14ac:dyDescent="0.2">
      <c r="A67" s="8">
        <v>8.9401039359206195E-5</v>
      </c>
      <c r="B67" t="s">
        <v>528</v>
      </c>
      <c r="C67" t="s">
        <v>529</v>
      </c>
      <c r="D67" t="s">
        <v>530</v>
      </c>
      <c r="E67" t="s">
        <v>585</v>
      </c>
      <c r="F67" s="2">
        <f t="shared" si="1"/>
        <v>0.12455930130437209</v>
      </c>
    </row>
    <row r="68" spans="1:6" x14ac:dyDescent="0.2">
      <c r="A68" s="8">
        <v>1.28184510722252E-6</v>
      </c>
      <c r="B68" t="s">
        <v>528</v>
      </c>
      <c r="C68" t="s">
        <v>529</v>
      </c>
      <c r="D68" t="s">
        <v>530</v>
      </c>
      <c r="E68" t="s">
        <v>521</v>
      </c>
      <c r="F68" s="2">
        <f t="shared" si="1"/>
        <v>1.7859493813549632E-3</v>
      </c>
    </row>
    <row r="69" spans="1:6" x14ac:dyDescent="0.2">
      <c r="A69" s="8">
        <v>1.49287802703928E-5</v>
      </c>
      <c r="B69" t="s">
        <v>528</v>
      </c>
      <c r="C69" t="s">
        <v>529</v>
      </c>
      <c r="D69" t="s">
        <v>530</v>
      </c>
      <c r="E69" t="s">
        <v>550</v>
      </c>
      <c r="F69" s="2">
        <f t="shared" si="1"/>
        <v>2.0799740731595153E-2</v>
      </c>
    </row>
    <row r="70" spans="1:6" x14ac:dyDescent="0.2">
      <c r="A70" s="8">
        <v>3.4650168832006399E-6</v>
      </c>
      <c r="B70" t="s">
        <v>528</v>
      </c>
      <c r="C70" t="s">
        <v>529</v>
      </c>
      <c r="D70" t="s">
        <v>530</v>
      </c>
      <c r="E70" t="s">
        <v>522</v>
      </c>
      <c r="F70" s="2">
        <f t="shared" si="1"/>
        <v>4.8276852827760803E-3</v>
      </c>
    </row>
    <row r="71" spans="1:6" x14ac:dyDescent="0.2">
      <c r="A71" s="8">
        <v>1.80839631852639E-5</v>
      </c>
      <c r="B71" t="s">
        <v>528</v>
      </c>
      <c r="C71" t="s">
        <v>529</v>
      </c>
      <c r="D71" t="s">
        <v>530</v>
      </c>
      <c r="E71" t="s">
        <v>311</v>
      </c>
      <c r="F71" s="2">
        <f t="shared" si="1"/>
        <v>2.5195745321483245E-2</v>
      </c>
    </row>
    <row r="72" spans="1:6" x14ac:dyDescent="0.2">
      <c r="A72" s="8">
        <v>5.5413325308900197E-6</v>
      </c>
      <c r="B72" t="s">
        <v>528</v>
      </c>
      <c r="C72" t="s">
        <v>529</v>
      </c>
      <c r="D72" t="s">
        <v>530</v>
      </c>
      <c r="E72" t="s">
        <v>586</v>
      </c>
      <c r="F72" s="2">
        <f t="shared" si="1"/>
        <v>7.720542325795365E-3</v>
      </c>
    </row>
    <row r="73" spans="1:6" x14ac:dyDescent="0.2">
      <c r="A73" s="12">
        <v>3.4095249093473199E-4</v>
      </c>
      <c r="B73" s="12" t="s">
        <v>528</v>
      </c>
      <c r="C73" s="12" t="s">
        <v>529</v>
      </c>
      <c r="D73" s="12" t="s">
        <v>530</v>
      </c>
      <c r="E73" s="12" t="s">
        <v>313</v>
      </c>
      <c r="F73" s="19">
        <f t="shared" si="1"/>
        <v>0.47503702812871373</v>
      </c>
    </row>
    <row r="74" spans="1:6" x14ac:dyDescent="0.2">
      <c r="A74" s="8">
        <v>1.97631288006483E-6</v>
      </c>
      <c r="B74" t="s">
        <v>528</v>
      </c>
      <c r="C74" t="s">
        <v>529</v>
      </c>
      <c r="D74" t="s">
        <v>530</v>
      </c>
      <c r="E74" t="s">
        <v>587</v>
      </c>
      <c r="F74" s="2">
        <f t="shared" si="1"/>
        <v>2.7535267292656709E-3</v>
      </c>
    </row>
    <row r="75" spans="1:6" x14ac:dyDescent="0.2">
      <c r="A75" s="8">
        <v>3.0586524123255599E-6</v>
      </c>
      <c r="B75" t="s">
        <v>528</v>
      </c>
      <c r="C75" t="s">
        <v>529</v>
      </c>
      <c r="D75" t="s">
        <v>530</v>
      </c>
      <c r="E75" t="s">
        <v>588</v>
      </c>
      <c r="F75" s="2">
        <f t="shared" si="1"/>
        <v>4.2615120600717231E-3</v>
      </c>
    </row>
    <row r="76" spans="1:6" x14ac:dyDescent="0.2">
      <c r="A76" s="8">
        <v>6.4377953129970098E-6</v>
      </c>
      <c r="B76" t="s">
        <v>528</v>
      </c>
      <c r="C76" t="s">
        <v>529</v>
      </c>
      <c r="D76" t="s">
        <v>530</v>
      </c>
      <c r="E76" t="s">
        <v>589</v>
      </c>
      <c r="F76" s="2">
        <f t="shared" si="1"/>
        <v>8.9695521648864764E-3</v>
      </c>
    </row>
    <row r="77" spans="1:6" x14ac:dyDescent="0.2">
      <c r="A77" s="8">
        <v>3.7526432252123002E-6</v>
      </c>
      <c r="B77" t="s">
        <v>528</v>
      </c>
      <c r="C77" t="s">
        <v>529</v>
      </c>
      <c r="D77" t="s">
        <v>530</v>
      </c>
      <c r="E77" t="s">
        <v>590</v>
      </c>
      <c r="F77" s="2">
        <f t="shared" si="1"/>
        <v>5.2284248765715911E-3</v>
      </c>
    </row>
    <row r="78" spans="1:6" x14ac:dyDescent="0.2">
      <c r="A78" s="8">
        <v>2.4860094297782201E-5</v>
      </c>
      <c r="B78" t="s">
        <v>528</v>
      </c>
      <c r="C78" t="s">
        <v>529</v>
      </c>
      <c r="D78" t="s">
        <v>530</v>
      </c>
      <c r="E78" t="s">
        <v>525</v>
      </c>
      <c r="F78" s="2">
        <f t="shared" si="1"/>
        <v>3.4636688771042611E-2</v>
      </c>
    </row>
    <row r="80" spans="1:6" x14ac:dyDescent="0.2">
      <c r="A80" s="8">
        <f>SUM(A53:A78)</f>
        <v>7.1773876718163776E-4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C23" sqref="C23"/>
    </sheetView>
  </sheetViews>
  <sheetFormatPr baseColWidth="10" defaultColWidth="8.83203125" defaultRowHeight="15" x14ac:dyDescent="0.2"/>
  <cols>
    <col min="1" max="1" width="12.83203125" bestFit="1" customWidth="1"/>
    <col min="2" max="2" width="14.33203125" bestFit="1" customWidth="1"/>
    <col min="3" max="3" width="21" bestFit="1" customWidth="1"/>
    <col min="4" max="4" width="12" bestFit="1" customWidth="1"/>
  </cols>
  <sheetData>
    <row r="1" spans="1:5" x14ac:dyDescent="0.2">
      <c r="A1" s="17" t="s">
        <v>312</v>
      </c>
    </row>
    <row r="2" spans="1:5" x14ac:dyDescent="0.2">
      <c r="B2" t="s">
        <v>385</v>
      </c>
      <c r="C2" t="s">
        <v>388</v>
      </c>
    </row>
    <row r="3" spans="1:5" x14ac:dyDescent="0.2">
      <c r="A3" t="s">
        <v>386</v>
      </c>
      <c r="B3">
        <v>0.84019999999999995</v>
      </c>
      <c r="C3">
        <v>0.29632999999999998</v>
      </c>
      <c r="D3">
        <f>B3*C3</f>
        <v>0.24897646599999998</v>
      </c>
      <c r="E3" s="6">
        <f>D3/SUM($D$3:$D$5)</f>
        <v>0.97808958425763304</v>
      </c>
    </row>
    <row r="4" spans="1:5" x14ac:dyDescent="0.2">
      <c r="A4" t="s">
        <v>387</v>
      </c>
      <c r="B4">
        <v>5.8415999999999997</v>
      </c>
      <c r="C4">
        <v>8.4088000000000001E-4</v>
      </c>
      <c r="D4">
        <f t="shared" ref="D4:D5" si="0">B4*C4</f>
        <v>4.9120846079999999E-3</v>
      </c>
      <c r="E4" s="6">
        <f t="shared" ref="E4:E5" si="1">D4/SUM($D$3:$D$5)</f>
        <v>1.9296839051756155E-2</v>
      </c>
    </row>
    <row r="5" spans="1:5" x14ac:dyDescent="0.2">
      <c r="A5" t="s">
        <v>66</v>
      </c>
      <c r="B5">
        <v>1600</v>
      </c>
      <c r="C5" s="8">
        <v>4.1581000000000002E-7</v>
      </c>
      <c r="D5">
        <f t="shared" si="0"/>
        <v>6.6529600000000001E-4</v>
      </c>
      <c r="E5" s="6">
        <f t="shared" si="1"/>
        <v>2.6135766906108561E-3</v>
      </c>
    </row>
    <row r="7" spans="1:5" x14ac:dyDescent="0.2">
      <c r="A7" s="17" t="s">
        <v>312</v>
      </c>
    </row>
    <row r="8" spans="1:5" x14ac:dyDescent="0.2">
      <c r="B8" t="s">
        <v>385</v>
      </c>
      <c r="C8" t="s">
        <v>388</v>
      </c>
    </row>
    <row r="9" spans="1:5" x14ac:dyDescent="0.2">
      <c r="A9" t="s">
        <v>386</v>
      </c>
      <c r="B9">
        <v>0.84019999999999995</v>
      </c>
      <c r="C9">
        <v>0.29632999999999998</v>
      </c>
      <c r="D9">
        <f>B9*C9</f>
        <v>0.24897646599999998</v>
      </c>
      <c r="E9" s="6">
        <f>D9/SUM($D$9:$D$11)</f>
        <v>0.89167592766689696</v>
      </c>
    </row>
    <row r="10" spans="1:5" x14ac:dyDescent="0.2">
      <c r="A10" t="s">
        <v>387</v>
      </c>
      <c r="B10">
        <v>5.8415999999999997</v>
      </c>
      <c r="C10">
        <v>5.1526999999999996E-3</v>
      </c>
      <c r="D10">
        <f t="shared" ref="D10:D11" si="2">B10*C10</f>
        <v>3.0100012319999998E-2</v>
      </c>
      <c r="E10" s="6">
        <f>D10/SUM($D$9:$D$11)</f>
        <v>0.10779917009594403</v>
      </c>
    </row>
    <row r="11" spans="1:5" x14ac:dyDescent="0.2">
      <c r="A11" t="s">
        <v>66</v>
      </c>
      <c r="B11">
        <v>1600</v>
      </c>
      <c r="C11" s="8">
        <v>9.1603000000000003E-8</v>
      </c>
      <c r="D11">
        <f t="shared" si="2"/>
        <v>1.4656480000000002E-4</v>
      </c>
      <c r="E11" s="6">
        <f>D11/SUM($D$9:$D$11)</f>
        <v>5.2490223715888568E-4</v>
      </c>
    </row>
    <row r="13" spans="1:5" x14ac:dyDescent="0.2">
      <c r="A13" s="17" t="s">
        <v>277</v>
      </c>
    </row>
    <row r="14" spans="1:5" x14ac:dyDescent="0.2">
      <c r="B14" t="s">
        <v>385</v>
      </c>
      <c r="C14" t="s">
        <v>388</v>
      </c>
    </row>
    <row r="15" spans="1:5" x14ac:dyDescent="0.2">
      <c r="A15" t="s">
        <v>386</v>
      </c>
      <c r="B15">
        <v>0.84019999999999995</v>
      </c>
      <c r="C15">
        <v>0.29632999999999998</v>
      </c>
      <c r="D15">
        <f>B15*C15</f>
        <v>0.24897646599999998</v>
      </c>
      <c r="E15" s="6">
        <f>D15/SUM($D$15:$D$17)</f>
        <v>0.91471461433732637</v>
      </c>
    </row>
    <row r="16" spans="1:5" x14ac:dyDescent="0.2">
      <c r="A16" t="s">
        <v>387</v>
      </c>
      <c r="B16">
        <v>5.8415999999999997</v>
      </c>
      <c r="C16">
        <v>3.8003999999999998E-3</v>
      </c>
      <c r="D16">
        <f t="shared" ref="D16:D17" si="3">B16*C16</f>
        <v>2.2200416639999998E-2</v>
      </c>
      <c r="E16" s="6">
        <f>D16/SUM($D$15:$D$17)</f>
        <v>8.1562108544771306E-2</v>
      </c>
    </row>
    <row r="17" spans="1:5" x14ac:dyDescent="0.2">
      <c r="A17" t="s">
        <v>66</v>
      </c>
      <c r="B17">
        <v>1600</v>
      </c>
      <c r="C17" s="8">
        <v>6.3340000000000005E-7</v>
      </c>
      <c r="D17">
        <f t="shared" si="3"/>
        <v>1.01344E-3</v>
      </c>
      <c r="E17" s="6">
        <f>D17/SUM($D$15:$D$17)</f>
        <v>3.7232771179024613E-3</v>
      </c>
    </row>
    <row r="19" spans="1:5" x14ac:dyDescent="0.2">
      <c r="A19" s="17" t="s">
        <v>242</v>
      </c>
    </row>
    <row r="20" spans="1:5" x14ac:dyDescent="0.2">
      <c r="B20" t="s">
        <v>385</v>
      </c>
      <c r="C20" t="s">
        <v>388</v>
      </c>
    </row>
    <row r="21" spans="1:5" x14ac:dyDescent="0.2">
      <c r="A21" t="s">
        <v>386</v>
      </c>
      <c r="B21">
        <v>0.84019999999999995</v>
      </c>
      <c r="C21">
        <v>0.29632999999999998</v>
      </c>
      <c r="D21">
        <f>B21*C21</f>
        <v>0.24897646599999998</v>
      </c>
      <c r="E21" s="6">
        <f>D21/SUM($D$21:$D$23)</f>
        <v>0.9711045829123125</v>
      </c>
    </row>
    <row r="22" spans="1:5" x14ac:dyDescent="0.2">
      <c r="A22" t="s">
        <v>387</v>
      </c>
      <c r="B22">
        <v>5.8415999999999997</v>
      </c>
      <c r="C22">
        <v>1.2113E-3</v>
      </c>
      <c r="D22">
        <f t="shared" ref="D22:D23" si="4">B22*C22</f>
        <v>7.0759300799999999E-3</v>
      </c>
      <c r="E22" s="6">
        <f>D22/SUM($D$21:$D$23)</f>
        <v>2.7598866027181406E-2</v>
      </c>
    </row>
    <row r="23" spans="1:5" x14ac:dyDescent="0.2">
      <c r="A23" t="s">
        <v>66</v>
      </c>
      <c r="B23">
        <v>1600</v>
      </c>
      <c r="C23" s="8">
        <v>2.0776E-7</v>
      </c>
      <c r="D23">
        <f t="shared" si="4"/>
        <v>3.3241599999999998E-4</v>
      </c>
      <c r="E23" s="6">
        <f>D23/SUM($D$21:$D$23)</f>
        <v>1.2965510605061736E-3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507"/>
  <sheetViews>
    <sheetView workbookViewId="0">
      <pane ySplit="1" topLeftCell="A2" activePane="bottomLeft" state="frozen"/>
      <selection pane="bottomLeft" activeCell="A990" sqref="A990"/>
    </sheetView>
  </sheetViews>
  <sheetFormatPr baseColWidth="10" defaultColWidth="8.83203125" defaultRowHeight="15" x14ac:dyDescent="0.2"/>
  <cols>
    <col min="1" max="1" width="44.83203125" bestFit="1" customWidth="1"/>
    <col min="2" max="2" width="10.1640625" customWidth="1"/>
    <col min="3" max="12" width="11.5" customWidth="1"/>
    <col min="13" max="13" width="17" customWidth="1"/>
    <col min="14" max="14" width="18.1640625" style="4"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
      <c r="A2" t="s">
        <v>82</v>
      </c>
      <c r="B2" t="s">
        <v>183</v>
      </c>
      <c r="C2">
        <v>8090</v>
      </c>
      <c r="D2">
        <v>7000</v>
      </c>
      <c r="E2">
        <v>6976</v>
      </c>
      <c r="F2">
        <v>7086</v>
      </c>
      <c r="G2">
        <v>3101</v>
      </c>
      <c r="H2">
        <v>1472</v>
      </c>
      <c r="I2">
        <v>2045</v>
      </c>
      <c r="J2">
        <v>543</v>
      </c>
      <c r="K2">
        <v>0</v>
      </c>
      <c r="L2">
        <v>0</v>
      </c>
      <c r="M2">
        <v>4060</v>
      </c>
      <c r="N2" s="2">
        <v>5.9552410536364508E-5</v>
      </c>
    </row>
    <row r="3" spans="1:14" hidden="1" x14ac:dyDescent="0.2">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
      <c r="A31" t="s">
        <v>81</v>
      </c>
      <c r="B31" t="s">
        <v>183</v>
      </c>
      <c r="D31">
        <v>0</v>
      </c>
      <c r="E31">
        <v>0</v>
      </c>
      <c r="F31">
        <v>50</v>
      </c>
      <c r="G31">
        <v>314</v>
      </c>
      <c r="H31">
        <v>500</v>
      </c>
      <c r="I31">
        <v>500</v>
      </c>
      <c r="J31">
        <v>1000</v>
      </c>
      <c r="K31">
        <v>1600</v>
      </c>
      <c r="L31">
        <v>500</v>
      </c>
      <c r="M31">
        <v>4100</v>
      </c>
      <c r="N31" s="2">
        <v>6.5215044461788111E-5</v>
      </c>
    </row>
    <row r="32" spans="1:14" hidden="1" x14ac:dyDescent="0.2">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
      <c r="A43" t="s">
        <v>81</v>
      </c>
      <c r="B43" t="s">
        <v>189</v>
      </c>
      <c r="G43">
        <v>300</v>
      </c>
      <c r="H43">
        <v>4300</v>
      </c>
      <c r="I43">
        <v>500</v>
      </c>
      <c r="J43">
        <v>4800</v>
      </c>
      <c r="K43">
        <v>1100</v>
      </c>
      <c r="L43">
        <v>2600</v>
      </c>
      <c r="M43">
        <v>13300</v>
      </c>
      <c r="N43" s="2">
        <v>2.115512417906785E-4</v>
      </c>
    </row>
    <row r="44" spans="1:14" hidden="1" x14ac:dyDescent="0.2">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
      <c r="A45" t="s">
        <v>81</v>
      </c>
      <c r="B45" t="s">
        <v>160</v>
      </c>
      <c r="E45">
        <v>0</v>
      </c>
      <c r="F45">
        <v>0</v>
      </c>
      <c r="G45">
        <v>0</v>
      </c>
      <c r="H45">
        <v>2900</v>
      </c>
      <c r="I45">
        <v>42000</v>
      </c>
      <c r="J45">
        <v>57800</v>
      </c>
      <c r="K45">
        <v>57700</v>
      </c>
      <c r="L45">
        <v>45000</v>
      </c>
      <c r="M45">
        <v>205400</v>
      </c>
      <c r="N45" s="2">
        <v>3.2671146664515309E-3</v>
      </c>
    </row>
    <row r="46" spans="1:14" hidden="1" x14ac:dyDescent="0.2">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
      <c r="A49" t="s">
        <v>81</v>
      </c>
      <c r="B49" t="s">
        <v>169</v>
      </c>
      <c r="H49">
        <v>0</v>
      </c>
      <c r="I49">
        <v>0</v>
      </c>
      <c r="J49">
        <v>0</v>
      </c>
      <c r="K49">
        <v>2243</v>
      </c>
      <c r="L49">
        <v>2059</v>
      </c>
      <c r="M49">
        <v>4302</v>
      </c>
      <c r="N49" s="2">
        <v>6.8428078359661576E-5</v>
      </c>
    </row>
    <row r="50" spans="1:14" hidden="1" x14ac:dyDescent="0.2">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
      <c r="A78" t="s">
        <v>81</v>
      </c>
      <c r="B78" t="s">
        <v>135</v>
      </c>
      <c r="C78">
        <v>134</v>
      </c>
      <c r="D78">
        <v>190</v>
      </c>
      <c r="E78">
        <v>176</v>
      </c>
      <c r="F78">
        <v>190</v>
      </c>
      <c r="G78">
        <v>126</v>
      </c>
      <c r="H78">
        <v>166</v>
      </c>
      <c r="I78">
        <v>151</v>
      </c>
      <c r="J78">
        <v>119</v>
      </c>
      <c r="K78">
        <v>96</v>
      </c>
      <c r="L78">
        <v>25</v>
      </c>
      <c r="M78">
        <v>557</v>
      </c>
      <c r="N78" s="2">
        <v>8.8597023817599954E-6</v>
      </c>
    </row>
    <row r="79" spans="1:14" hidden="1" x14ac:dyDescent="0.2">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
      <c r="A88" t="s">
        <v>81</v>
      </c>
      <c r="B88" t="s">
        <v>143</v>
      </c>
      <c r="F88">
        <v>0</v>
      </c>
      <c r="G88">
        <v>0</v>
      </c>
      <c r="H88">
        <v>0</v>
      </c>
      <c r="I88">
        <v>0</v>
      </c>
      <c r="J88">
        <v>44</v>
      </c>
      <c r="K88">
        <v>1500</v>
      </c>
      <c r="L88">
        <v>0</v>
      </c>
      <c r="M88">
        <v>1544</v>
      </c>
      <c r="N88" s="2">
        <v>2.4559031377805082E-5</v>
      </c>
    </row>
    <row r="89" spans="1:14" hidden="1" x14ac:dyDescent="0.2">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
      <c r="A91" t="s">
        <v>80</v>
      </c>
      <c r="B91" t="s">
        <v>97</v>
      </c>
      <c r="F91">
        <v>1124</v>
      </c>
      <c r="G91">
        <v>1125</v>
      </c>
      <c r="H91">
        <v>400</v>
      </c>
      <c r="I91">
        <v>442</v>
      </c>
      <c r="J91">
        <v>400</v>
      </c>
      <c r="K91">
        <v>400</v>
      </c>
      <c r="L91">
        <v>400</v>
      </c>
      <c r="M91">
        <v>2042</v>
      </c>
      <c r="N91" s="2">
        <v>4.1978283125223559E-3</v>
      </c>
    </row>
    <row r="92" spans="1:14" hidden="1" x14ac:dyDescent="0.2">
      <c r="A92" t="s">
        <v>80</v>
      </c>
      <c r="B92" t="s">
        <v>102</v>
      </c>
      <c r="C92">
        <v>0</v>
      </c>
      <c r="D92">
        <v>0</v>
      </c>
      <c r="E92">
        <v>0</v>
      </c>
      <c r="F92">
        <v>0</v>
      </c>
      <c r="G92">
        <v>0</v>
      </c>
      <c r="H92">
        <v>1000</v>
      </c>
      <c r="I92">
        <v>1000</v>
      </c>
      <c r="J92">
        <v>1000</v>
      </c>
      <c r="K92">
        <v>1000</v>
      </c>
      <c r="L92">
        <v>1000</v>
      </c>
      <c r="M92">
        <v>5000</v>
      </c>
      <c r="N92" s="2">
        <v>1.027871770940832E-2</v>
      </c>
    </row>
    <row r="93" spans="1:14" hidden="1" x14ac:dyDescent="0.2">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
      <c r="A95" t="s">
        <v>80</v>
      </c>
      <c r="B95" t="s">
        <v>113</v>
      </c>
      <c r="C95">
        <v>106</v>
      </c>
      <c r="D95">
        <v>591</v>
      </c>
      <c r="F95">
        <v>0</v>
      </c>
      <c r="G95">
        <v>0</v>
      </c>
      <c r="H95">
        <v>0</v>
      </c>
      <c r="I95">
        <v>0</v>
      </c>
      <c r="J95">
        <v>460</v>
      </c>
      <c r="K95">
        <v>17</v>
      </c>
      <c r="L95">
        <v>0</v>
      </c>
      <c r="M95">
        <v>477</v>
      </c>
      <c r="N95" s="2">
        <v>9.8058966947755328E-4</v>
      </c>
    </row>
    <row r="96" spans="1:14" hidden="1" x14ac:dyDescent="0.2">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
      <c r="A97" t="s">
        <v>79</v>
      </c>
      <c r="B97" t="s">
        <v>85</v>
      </c>
      <c r="C97">
        <v>326</v>
      </c>
      <c r="D97">
        <v>192</v>
      </c>
      <c r="E97">
        <v>55</v>
      </c>
      <c r="F97">
        <v>40</v>
      </c>
      <c r="G97">
        <v>44</v>
      </c>
      <c r="H97">
        <v>0</v>
      </c>
      <c r="I97">
        <v>0</v>
      </c>
      <c r="J97">
        <v>0</v>
      </c>
      <c r="K97">
        <v>15</v>
      </c>
      <c r="L97">
        <v>29</v>
      </c>
      <c r="M97">
        <v>44</v>
      </c>
      <c r="N97" s="2">
        <v>1.668847546983748E-4</v>
      </c>
    </row>
    <row r="98" spans="1:14" hidden="1" x14ac:dyDescent="0.2">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
      <c r="A103" t="s">
        <v>79</v>
      </c>
      <c r="B103" t="s">
        <v>99</v>
      </c>
      <c r="F103">
        <v>38</v>
      </c>
      <c r="G103">
        <v>0</v>
      </c>
      <c r="H103">
        <v>40</v>
      </c>
      <c r="I103">
        <v>71</v>
      </c>
      <c r="J103">
        <v>71</v>
      </c>
      <c r="K103">
        <v>71</v>
      </c>
      <c r="L103">
        <v>71</v>
      </c>
      <c r="M103">
        <v>324</v>
      </c>
      <c r="N103" s="2">
        <v>1.2288786482334869E-3</v>
      </c>
    </row>
    <row r="104" spans="1:14" hidden="1" x14ac:dyDescent="0.2">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
      <c r="A122" t="s">
        <v>78</v>
      </c>
      <c r="B122" t="s">
        <v>150</v>
      </c>
      <c r="E122">
        <v>0</v>
      </c>
      <c r="F122">
        <v>0</v>
      </c>
      <c r="G122">
        <v>0</v>
      </c>
      <c r="H122">
        <v>0</v>
      </c>
      <c r="I122">
        <v>45</v>
      </c>
      <c r="J122">
        <v>15</v>
      </c>
      <c r="K122">
        <v>32</v>
      </c>
      <c r="L122">
        <v>40</v>
      </c>
      <c r="M122">
        <v>132</v>
      </c>
      <c r="N122" s="2">
        <v>2.9460340133017899E-4</v>
      </c>
    </row>
    <row r="123" spans="1:14" hidden="1" x14ac:dyDescent="0.2">
      <c r="A123" t="s">
        <v>78</v>
      </c>
      <c r="B123" t="s">
        <v>173</v>
      </c>
      <c r="C123">
        <v>42</v>
      </c>
      <c r="F123">
        <v>1024</v>
      </c>
      <c r="G123">
        <v>710</v>
      </c>
      <c r="H123">
        <v>660</v>
      </c>
      <c r="I123">
        <v>543</v>
      </c>
      <c r="J123">
        <v>463</v>
      </c>
      <c r="K123">
        <v>42</v>
      </c>
      <c r="L123">
        <v>40</v>
      </c>
      <c r="M123">
        <v>1748</v>
      </c>
      <c r="N123" s="2">
        <v>3.901263223675401E-3</v>
      </c>
    </row>
    <row r="124" spans="1:14" hidden="1" x14ac:dyDescent="0.2">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
      <c r="A125" t="s">
        <v>78</v>
      </c>
      <c r="B125" t="s">
        <v>203</v>
      </c>
      <c r="F125">
        <v>27</v>
      </c>
      <c r="G125">
        <v>8</v>
      </c>
      <c r="H125">
        <v>12</v>
      </c>
      <c r="I125">
        <v>66</v>
      </c>
      <c r="J125">
        <v>13</v>
      </c>
      <c r="K125">
        <v>13</v>
      </c>
      <c r="L125">
        <v>20</v>
      </c>
      <c r="M125">
        <v>124</v>
      </c>
      <c r="N125" s="2">
        <v>2.7674864973441059E-4</v>
      </c>
    </row>
    <row r="126" spans="1:14" hidden="1" x14ac:dyDescent="0.2">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
      <c r="A136" t="s">
        <v>73</v>
      </c>
      <c r="B136" t="s">
        <v>83</v>
      </c>
      <c r="D136">
        <v>0</v>
      </c>
      <c r="E136">
        <v>14</v>
      </c>
      <c r="F136">
        <v>22</v>
      </c>
      <c r="G136">
        <v>41</v>
      </c>
      <c r="H136">
        <v>21</v>
      </c>
      <c r="I136">
        <v>82</v>
      </c>
      <c r="J136">
        <v>99</v>
      </c>
      <c r="K136">
        <v>112</v>
      </c>
      <c r="L136">
        <v>73</v>
      </c>
      <c r="M136">
        <v>387</v>
      </c>
      <c r="N136" s="2">
        <v>2.0758060778743739E-4</v>
      </c>
    </row>
    <row r="137" spans="1:14" hidden="1" x14ac:dyDescent="0.2">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
      <c r="A141" t="s">
        <v>73</v>
      </c>
      <c r="B141" t="s">
        <v>97</v>
      </c>
      <c r="C141">
        <v>14</v>
      </c>
      <c r="D141">
        <v>23</v>
      </c>
      <c r="E141">
        <v>9</v>
      </c>
      <c r="F141">
        <v>17</v>
      </c>
      <c r="G141">
        <v>0</v>
      </c>
      <c r="H141">
        <v>14</v>
      </c>
      <c r="I141">
        <v>7</v>
      </c>
      <c r="J141">
        <v>0</v>
      </c>
      <c r="K141">
        <v>0</v>
      </c>
      <c r="L141">
        <v>0</v>
      </c>
      <c r="M141">
        <v>21</v>
      </c>
      <c r="N141" s="2">
        <v>1.1264063988465599E-5</v>
      </c>
    </row>
    <row r="142" spans="1:14" hidden="1" x14ac:dyDescent="0.2">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
      <c r="A148" t="s">
        <v>73</v>
      </c>
      <c r="B148" t="s">
        <v>204</v>
      </c>
      <c r="C148">
        <v>0</v>
      </c>
      <c r="D148">
        <v>0</v>
      </c>
      <c r="F148">
        <v>0</v>
      </c>
      <c r="G148">
        <v>0</v>
      </c>
      <c r="H148">
        <v>0</v>
      </c>
      <c r="I148">
        <v>0</v>
      </c>
      <c r="J148">
        <v>800</v>
      </c>
      <c r="K148">
        <v>900</v>
      </c>
      <c r="L148">
        <v>1300</v>
      </c>
      <c r="M148">
        <v>3000</v>
      </c>
      <c r="N148" s="2">
        <v>1.609151998352228E-3</v>
      </c>
    </row>
    <row r="149" spans="1:14" hidden="1" x14ac:dyDescent="0.2">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
      <c r="A157" t="s">
        <v>72</v>
      </c>
      <c r="B157" t="s">
        <v>87</v>
      </c>
      <c r="C157">
        <v>0</v>
      </c>
      <c r="D157">
        <v>0</v>
      </c>
      <c r="E157">
        <v>5</v>
      </c>
      <c r="F157">
        <v>2</v>
      </c>
      <c r="G157">
        <v>0</v>
      </c>
      <c r="H157">
        <v>0</v>
      </c>
      <c r="I157">
        <v>0</v>
      </c>
      <c r="J157">
        <v>22</v>
      </c>
      <c r="K157">
        <v>10</v>
      </c>
      <c r="L157">
        <v>0</v>
      </c>
      <c r="M157">
        <v>32</v>
      </c>
      <c r="N157" s="2">
        <v>2.0962231953647269E-5</v>
      </c>
    </row>
    <row r="158" spans="1:14" hidden="1" x14ac:dyDescent="0.2">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
      <c r="A159" t="s">
        <v>72</v>
      </c>
      <c r="B159" t="s">
        <v>97</v>
      </c>
      <c r="C159">
        <v>36</v>
      </c>
      <c r="D159">
        <v>26</v>
      </c>
      <c r="E159">
        <v>19</v>
      </c>
      <c r="F159">
        <v>10</v>
      </c>
      <c r="G159">
        <v>9</v>
      </c>
      <c r="H159">
        <v>13</v>
      </c>
      <c r="I159">
        <v>6</v>
      </c>
      <c r="J159">
        <v>5</v>
      </c>
      <c r="K159">
        <v>3</v>
      </c>
      <c r="L159">
        <v>15</v>
      </c>
      <c r="M159">
        <v>42</v>
      </c>
      <c r="N159" s="2">
        <v>2.7512929439162031E-5</v>
      </c>
    </row>
    <row r="160" spans="1:14" hidden="1" x14ac:dyDescent="0.2">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
      <c r="A161" t="s">
        <v>72</v>
      </c>
      <c r="B161" t="s">
        <v>148</v>
      </c>
      <c r="D161">
        <v>20</v>
      </c>
      <c r="E161">
        <v>68</v>
      </c>
      <c r="F161">
        <v>7</v>
      </c>
      <c r="G161">
        <v>63</v>
      </c>
      <c r="H161">
        <v>8</v>
      </c>
      <c r="I161">
        <v>10</v>
      </c>
      <c r="J161">
        <v>17</v>
      </c>
      <c r="K161">
        <v>1</v>
      </c>
      <c r="L161">
        <v>1</v>
      </c>
      <c r="M161">
        <v>37</v>
      </c>
      <c r="N161" s="2">
        <v>2.423758069640465E-5</v>
      </c>
    </row>
    <row r="162" spans="1:14" hidden="1" x14ac:dyDescent="0.2">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
      <c r="A166" t="s">
        <v>72</v>
      </c>
      <c r="B166" t="s">
        <v>175</v>
      </c>
      <c r="F166">
        <v>0</v>
      </c>
      <c r="G166">
        <v>0</v>
      </c>
      <c r="H166">
        <v>0</v>
      </c>
      <c r="I166">
        <v>0</v>
      </c>
      <c r="J166">
        <v>4</v>
      </c>
      <c r="K166">
        <v>284</v>
      </c>
      <c r="L166">
        <v>470</v>
      </c>
      <c r="M166">
        <v>758</v>
      </c>
      <c r="N166" s="2">
        <v>4.9654286940201955E-4</v>
      </c>
    </row>
    <row r="167" spans="1:14" hidden="1" x14ac:dyDescent="0.2">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
      <c r="A178" t="s">
        <v>71</v>
      </c>
      <c r="B178" t="s">
        <v>147</v>
      </c>
      <c r="E178">
        <v>5</v>
      </c>
      <c r="F178">
        <v>4</v>
      </c>
      <c r="G178">
        <v>4</v>
      </c>
      <c r="H178">
        <v>5</v>
      </c>
      <c r="I178">
        <v>4</v>
      </c>
      <c r="J178">
        <v>3</v>
      </c>
      <c r="K178">
        <v>3</v>
      </c>
      <c r="L178">
        <v>3</v>
      </c>
      <c r="M178">
        <v>18</v>
      </c>
      <c r="N178" s="2">
        <v>6.7950169875424689E-3</v>
      </c>
    </row>
    <row r="179" spans="1:14" hidden="1" x14ac:dyDescent="0.2">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
      <c r="A185" t="s">
        <v>70</v>
      </c>
      <c r="B185" t="s">
        <v>83</v>
      </c>
      <c r="H185">
        <v>44</v>
      </c>
      <c r="I185">
        <v>70</v>
      </c>
      <c r="J185">
        <v>148</v>
      </c>
      <c r="K185">
        <v>92</v>
      </c>
      <c r="L185">
        <v>65</v>
      </c>
      <c r="M185">
        <v>419</v>
      </c>
      <c r="N185" s="2">
        <v>2.5826398524135362E-4</v>
      </c>
    </row>
    <row r="186" spans="1:14" hidden="1" x14ac:dyDescent="0.2">
      <c r="A186" t="s">
        <v>70</v>
      </c>
      <c r="B186" t="s">
        <v>144</v>
      </c>
      <c r="C186">
        <v>0</v>
      </c>
      <c r="D186">
        <v>0</v>
      </c>
      <c r="E186">
        <v>23</v>
      </c>
      <c r="F186">
        <v>1</v>
      </c>
      <c r="G186">
        <v>0</v>
      </c>
      <c r="H186">
        <v>9</v>
      </c>
      <c r="I186">
        <v>59</v>
      </c>
      <c r="J186">
        <v>40</v>
      </c>
      <c r="K186">
        <v>40</v>
      </c>
      <c r="L186">
        <v>2</v>
      </c>
      <c r="M186">
        <v>150</v>
      </c>
      <c r="N186" s="2">
        <v>9.2457273952751867E-5</v>
      </c>
    </row>
    <row r="187" spans="1:14" hidden="1" x14ac:dyDescent="0.2">
      <c r="A187" t="s">
        <v>70</v>
      </c>
      <c r="B187" t="s">
        <v>144</v>
      </c>
      <c r="H187">
        <v>5</v>
      </c>
      <c r="I187">
        <v>35</v>
      </c>
      <c r="J187">
        <v>24</v>
      </c>
      <c r="K187">
        <v>24</v>
      </c>
      <c r="L187">
        <v>1</v>
      </c>
      <c r="M187">
        <v>89</v>
      </c>
      <c r="N187" s="2">
        <v>5.4857982545299442E-5</v>
      </c>
    </row>
    <row r="188" spans="1:14" hidden="1" x14ac:dyDescent="0.2">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
      <c r="A189" t="s">
        <v>70</v>
      </c>
      <c r="B189" t="s">
        <v>85</v>
      </c>
      <c r="C189">
        <v>112631</v>
      </c>
      <c r="H189">
        <v>6228</v>
      </c>
      <c r="I189">
        <v>6174</v>
      </c>
      <c r="J189">
        <v>5138</v>
      </c>
      <c r="K189">
        <v>4982</v>
      </c>
      <c r="L189">
        <v>5262</v>
      </c>
      <c r="M189">
        <v>27784</v>
      </c>
      <c r="N189" s="2">
        <v>1.712555266335505E-2</v>
      </c>
    </row>
    <row r="190" spans="1:14" hidden="1" x14ac:dyDescent="0.2">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
      <c r="A191" t="s">
        <v>70</v>
      </c>
      <c r="B191" t="s">
        <v>85</v>
      </c>
      <c r="H191">
        <v>80459</v>
      </c>
      <c r="I191">
        <v>95717</v>
      </c>
      <c r="J191">
        <v>123560</v>
      </c>
      <c r="K191">
        <v>82003</v>
      </c>
      <c r="L191">
        <v>108826</v>
      </c>
      <c r="M191">
        <v>490565</v>
      </c>
      <c r="N191" s="2">
        <v>0.30237535064421139</v>
      </c>
    </row>
    <row r="192" spans="1:14" hidden="1" x14ac:dyDescent="0.2">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
      <c r="A193" t="s">
        <v>70</v>
      </c>
      <c r="B193" t="s">
        <v>187</v>
      </c>
      <c r="H193">
        <v>41</v>
      </c>
      <c r="I193">
        <v>12</v>
      </c>
      <c r="J193">
        <v>12</v>
      </c>
      <c r="K193">
        <v>12</v>
      </c>
      <c r="L193">
        <v>12</v>
      </c>
      <c r="M193">
        <v>89</v>
      </c>
      <c r="N193" s="2">
        <v>5.4857982545299442E-5</v>
      </c>
    </row>
    <row r="194" spans="1:14" hidden="1" x14ac:dyDescent="0.2">
      <c r="A194" t="s">
        <v>70</v>
      </c>
      <c r="B194" t="s">
        <v>187</v>
      </c>
      <c r="H194">
        <v>14</v>
      </c>
      <c r="I194">
        <v>4</v>
      </c>
      <c r="J194">
        <v>4</v>
      </c>
      <c r="K194">
        <v>4</v>
      </c>
      <c r="L194">
        <v>4</v>
      </c>
      <c r="M194">
        <v>30</v>
      </c>
      <c r="N194" s="2">
        <v>1.8491454790550369E-5</v>
      </c>
    </row>
    <row r="195" spans="1:14" hidden="1" x14ac:dyDescent="0.2">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
      <c r="A196" t="s">
        <v>70</v>
      </c>
      <c r="B196" t="s">
        <v>116</v>
      </c>
      <c r="H196">
        <v>6981</v>
      </c>
      <c r="I196">
        <v>7600</v>
      </c>
      <c r="J196">
        <v>6800</v>
      </c>
      <c r="K196">
        <v>6400</v>
      </c>
      <c r="L196">
        <v>7500</v>
      </c>
      <c r="M196">
        <v>35281</v>
      </c>
      <c r="N196" s="2">
        <v>2.1746567215513591E-2</v>
      </c>
    </row>
    <row r="197" spans="1:14" hidden="1" x14ac:dyDescent="0.2">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
      <c r="A198" t="s">
        <v>70</v>
      </c>
      <c r="B198" t="s">
        <v>86</v>
      </c>
      <c r="H198">
        <v>167</v>
      </c>
      <c r="I198">
        <v>201</v>
      </c>
      <c r="J198">
        <v>169</v>
      </c>
      <c r="K198">
        <v>165</v>
      </c>
      <c r="L198">
        <v>169</v>
      </c>
      <c r="M198">
        <v>871</v>
      </c>
      <c r="N198" s="2">
        <v>5.3686857075231252E-4</v>
      </c>
    </row>
    <row r="199" spans="1:14" hidden="1" x14ac:dyDescent="0.2">
      <c r="A199" t="s">
        <v>70</v>
      </c>
      <c r="B199" t="s">
        <v>86</v>
      </c>
      <c r="H199">
        <v>57</v>
      </c>
      <c r="I199">
        <v>68</v>
      </c>
      <c r="J199">
        <v>58</v>
      </c>
      <c r="K199">
        <v>56</v>
      </c>
      <c r="L199">
        <v>58</v>
      </c>
      <c r="M199">
        <v>297</v>
      </c>
      <c r="N199" s="2">
        <v>1.8306540242644869E-4</v>
      </c>
    </row>
    <row r="200" spans="1:14" hidden="1" x14ac:dyDescent="0.2">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
      <c r="A201" t="s">
        <v>70</v>
      </c>
      <c r="B201" t="s">
        <v>159</v>
      </c>
      <c r="H201">
        <v>838</v>
      </c>
      <c r="I201">
        <v>952</v>
      </c>
      <c r="J201">
        <v>528</v>
      </c>
      <c r="K201">
        <v>719</v>
      </c>
      <c r="L201">
        <v>1017</v>
      </c>
      <c r="M201">
        <v>4054</v>
      </c>
      <c r="N201" s="2">
        <v>2.498811924029707E-3</v>
      </c>
    </row>
    <row r="202" spans="1:14" hidden="1" x14ac:dyDescent="0.2">
      <c r="A202" t="s">
        <v>70</v>
      </c>
      <c r="B202" t="s">
        <v>159</v>
      </c>
      <c r="H202">
        <v>699</v>
      </c>
      <c r="I202">
        <v>793</v>
      </c>
      <c r="J202">
        <v>440</v>
      </c>
      <c r="K202">
        <v>599</v>
      </c>
      <c r="L202">
        <v>848</v>
      </c>
      <c r="M202">
        <v>3379</v>
      </c>
      <c r="N202" s="2">
        <v>2.0827541912423241E-3</v>
      </c>
    </row>
    <row r="203" spans="1:14" hidden="1" x14ac:dyDescent="0.2">
      <c r="A203" t="s">
        <v>70</v>
      </c>
      <c r="B203" t="s">
        <v>193</v>
      </c>
      <c r="H203">
        <v>22</v>
      </c>
      <c r="I203">
        <v>26</v>
      </c>
      <c r="J203">
        <v>7</v>
      </c>
      <c r="K203">
        <v>7</v>
      </c>
      <c r="L203">
        <v>12</v>
      </c>
      <c r="M203">
        <v>74</v>
      </c>
      <c r="N203" s="2">
        <v>4.5612255150024247E-5</v>
      </c>
    </row>
    <row r="204" spans="1:14" hidden="1" x14ac:dyDescent="0.2">
      <c r="A204" t="s">
        <v>70</v>
      </c>
      <c r="B204" t="s">
        <v>193</v>
      </c>
      <c r="H204">
        <v>48</v>
      </c>
      <c r="I204">
        <v>37</v>
      </c>
      <c r="J204">
        <v>25</v>
      </c>
      <c r="K204">
        <v>10</v>
      </c>
      <c r="L204">
        <v>19</v>
      </c>
      <c r="M204">
        <v>139</v>
      </c>
      <c r="N204" s="2">
        <v>8.5677073862883393E-5</v>
      </c>
    </row>
    <row r="205" spans="1:14" hidden="1" x14ac:dyDescent="0.2">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
      <c r="A206" t="s">
        <v>70</v>
      </c>
      <c r="B206" t="s">
        <v>103</v>
      </c>
      <c r="G206">
        <v>0</v>
      </c>
      <c r="H206">
        <v>7</v>
      </c>
      <c r="I206">
        <v>33</v>
      </c>
      <c r="J206">
        <v>1</v>
      </c>
      <c r="K206">
        <v>1</v>
      </c>
      <c r="L206">
        <v>0</v>
      </c>
      <c r="M206">
        <v>42</v>
      </c>
      <c r="N206" s="2">
        <v>2.5888036706770521E-5</v>
      </c>
    </row>
    <row r="207" spans="1:14" hidden="1" x14ac:dyDescent="0.2">
      <c r="A207" t="s">
        <v>70</v>
      </c>
      <c r="B207" t="s">
        <v>105</v>
      </c>
      <c r="C207">
        <v>83</v>
      </c>
      <c r="D207">
        <v>43</v>
      </c>
      <c r="F207">
        <v>62606</v>
      </c>
      <c r="G207">
        <v>92</v>
      </c>
      <c r="H207">
        <v>127</v>
      </c>
      <c r="I207">
        <v>146</v>
      </c>
      <c r="J207">
        <v>132</v>
      </c>
      <c r="K207">
        <v>209</v>
      </c>
      <c r="L207">
        <v>175</v>
      </c>
      <c r="M207">
        <v>789</v>
      </c>
      <c r="N207" s="2">
        <v>4.8632526099147481E-4</v>
      </c>
    </row>
    <row r="208" spans="1:14" hidden="1" x14ac:dyDescent="0.2">
      <c r="A208" t="s">
        <v>70</v>
      </c>
      <c r="B208" t="s">
        <v>105</v>
      </c>
      <c r="H208">
        <v>76</v>
      </c>
      <c r="I208">
        <v>88</v>
      </c>
      <c r="J208">
        <v>79</v>
      </c>
      <c r="K208">
        <v>125</v>
      </c>
      <c r="L208">
        <v>105</v>
      </c>
      <c r="M208">
        <v>473</v>
      </c>
      <c r="N208" s="2">
        <v>2.915486038643442E-4</v>
      </c>
    </row>
    <row r="209" spans="1:14" hidden="1" x14ac:dyDescent="0.2">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
      <c r="A210" t="s">
        <v>70</v>
      </c>
      <c r="B210" t="s">
        <v>203</v>
      </c>
      <c r="H210">
        <v>681</v>
      </c>
      <c r="I210">
        <v>1010</v>
      </c>
      <c r="J210">
        <v>959</v>
      </c>
      <c r="K210">
        <v>947</v>
      </c>
      <c r="L210">
        <v>768</v>
      </c>
      <c r="M210">
        <v>4365</v>
      </c>
      <c r="N210" s="2">
        <v>2.6905066720250789E-3</v>
      </c>
    </row>
    <row r="211" spans="1:14" hidden="1" x14ac:dyDescent="0.2">
      <c r="A211" t="s">
        <v>70</v>
      </c>
      <c r="B211" t="s">
        <v>203</v>
      </c>
      <c r="H211">
        <v>231</v>
      </c>
      <c r="I211">
        <v>1037</v>
      </c>
      <c r="J211">
        <v>325</v>
      </c>
      <c r="K211">
        <v>321</v>
      </c>
      <c r="L211">
        <v>260</v>
      </c>
      <c r="M211">
        <v>2174</v>
      </c>
      <c r="N211" s="2">
        <v>1.3400140904885501E-3</v>
      </c>
    </row>
    <row r="212" spans="1:14" hidden="1" x14ac:dyDescent="0.2">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
      <c r="A213" t="s">
        <v>70</v>
      </c>
      <c r="B213" t="s">
        <v>203</v>
      </c>
      <c r="H213">
        <v>11</v>
      </c>
      <c r="I213">
        <v>0</v>
      </c>
      <c r="J213">
        <v>1</v>
      </c>
      <c r="K213">
        <v>1</v>
      </c>
      <c r="L213">
        <v>26</v>
      </c>
      <c r="M213">
        <v>39</v>
      </c>
      <c r="N213" s="2">
        <v>2.403889122771549E-5</v>
      </c>
    </row>
    <row r="214" spans="1:14" hidden="1" x14ac:dyDescent="0.2">
      <c r="A214" t="s">
        <v>70</v>
      </c>
      <c r="B214" t="s">
        <v>107</v>
      </c>
      <c r="H214">
        <v>648</v>
      </c>
      <c r="I214">
        <v>669</v>
      </c>
      <c r="J214">
        <v>659</v>
      </c>
      <c r="K214">
        <v>617</v>
      </c>
      <c r="L214">
        <v>650</v>
      </c>
      <c r="M214">
        <v>3243</v>
      </c>
      <c r="N214" s="2">
        <v>1.9989262628584952E-3</v>
      </c>
    </row>
    <row r="215" spans="1:14" hidden="1" x14ac:dyDescent="0.2">
      <c r="A215" t="s">
        <v>70</v>
      </c>
      <c r="B215" t="s">
        <v>107</v>
      </c>
      <c r="H215">
        <v>45</v>
      </c>
      <c r="I215">
        <v>44</v>
      </c>
      <c r="J215">
        <v>32</v>
      </c>
      <c r="K215">
        <v>60</v>
      </c>
      <c r="L215">
        <v>42</v>
      </c>
      <c r="M215">
        <v>223</v>
      </c>
      <c r="N215" s="2">
        <v>1.3745314727642451E-4</v>
      </c>
    </row>
    <row r="216" spans="1:14" hidden="1" x14ac:dyDescent="0.2">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
      <c r="A217" t="s">
        <v>70</v>
      </c>
      <c r="B217" t="s">
        <v>204</v>
      </c>
      <c r="H217">
        <v>739</v>
      </c>
      <c r="I217">
        <v>1037</v>
      </c>
      <c r="J217">
        <v>846</v>
      </c>
      <c r="K217">
        <v>669</v>
      </c>
      <c r="L217">
        <v>623</v>
      </c>
      <c r="M217">
        <v>3914</v>
      </c>
      <c r="N217" s="2">
        <v>2.4125184683404721E-3</v>
      </c>
    </row>
    <row r="218" spans="1:14" hidden="1" x14ac:dyDescent="0.2">
      <c r="A218" t="s">
        <v>70</v>
      </c>
      <c r="B218" t="s">
        <v>204</v>
      </c>
      <c r="H218">
        <v>251</v>
      </c>
      <c r="I218">
        <v>352</v>
      </c>
      <c r="J218">
        <v>287</v>
      </c>
      <c r="K218">
        <v>227</v>
      </c>
      <c r="L218">
        <v>211</v>
      </c>
      <c r="M218">
        <v>1328</v>
      </c>
      <c r="N218" s="2">
        <v>8.1855506539502988E-4</v>
      </c>
    </row>
    <row r="219" spans="1:14" hidden="1" x14ac:dyDescent="0.2">
      <c r="A219" t="s">
        <v>70</v>
      </c>
      <c r="B219" t="s">
        <v>121</v>
      </c>
      <c r="H219">
        <v>0</v>
      </c>
      <c r="I219">
        <v>0</v>
      </c>
      <c r="J219">
        <v>15</v>
      </c>
      <c r="K219">
        <v>13</v>
      </c>
      <c r="L219">
        <v>15</v>
      </c>
      <c r="M219">
        <v>43</v>
      </c>
      <c r="N219" s="2">
        <v>2.6504418533122201E-5</v>
      </c>
    </row>
    <row r="220" spans="1:14" hidden="1" x14ac:dyDescent="0.2">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
      <c r="A221" t="s">
        <v>70</v>
      </c>
      <c r="B221" t="s">
        <v>142</v>
      </c>
      <c r="H221">
        <v>6</v>
      </c>
      <c r="I221">
        <v>4</v>
      </c>
      <c r="J221">
        <v>4</v>
      </c>
      <c r="K221">
        <v>99</v>
      </c>
      <c r="L221">
        <v>97</v>
      </c>
      <c r="M221">
        <v>210</v>
      </c>
      <c r="N221" s="2">
        <v>1.2944018353385259E-4</v>
      </c>
    </row>
    <row r="222" spans="1:14" hidden="1" x14ac:dyDescent="0.2">
      <c r="A222" t="s">
        <v>70</v>
      </c>
      <c r="B222" t="s">
        <v>142</v>
      </c>
      <c r="H222">
        <v>2</v>
      </c>
      <c r="I222">
        <v>1</v>
      </c>
      <c r="J222">
        <v>1</v>
      </c>
      <c r="K222">
        <v>26</v>
      </c>
      <c r="L222">
        <v>26</v>
      </c>
      <c r="M222">
        <v>56</v>
      </c>
      <c r="N222" s="2">
        <v>3.4517382275694032E-5</v>
      </c>
    </row>
    <row r="223" spans="1:14" hidden="1" x14ac:dyDescent="0.2">
      <c r="A223" t="s">
        <v>70</v>
      </c>
      <c r="B223" t="s">
        <v>158</v>
      </c>
      <c r="H223">
        <v>27</v>
      </c>
      <c r="I223">
        <v>14</v>
      </c>
      <c r="J223">
        <v>7</v>
      </c>
      <c r="K223">
        <v>4</v>
      </c>
      <c r="L223">
        <v>0</v>
      </c>
      <c r="M223">
        <v>52</v>
      </c>
      <c r="N223" s="2">
        <v>3.2051854970287311E-5</v>
      </c>
    </row>
    <row r="224" spans="1:14" hidden="1" x14ac:dyDescent="0.2">
      <c r="A224" t="s">
        <v>70</v>
      </c>
      <c r="B224" t="s">
        <v>158</v>
      </c>
      <c r="H224">
        <v>15</v>
      </c>
      <c r="I224">
        <v>8</v>
      </c>
      <c r="J224">
        <v>4</v>
      </c>
      <c r="K224">
        <v>2</v>
      </c>
      <c r="L224">
        <v>0</v>
      </c>
      <c r="M224">
        <v>29</v>
      </c>
      <c r="N224" s="2">
        <v>1.7875072964198689E-5</v>
      </c>
    </row>
    <row r="225" spans="1:14" hidden="1" x14ac:dyDescent="0.2">
      <c r="A225" t="s">
        <v>70</v>
      </c>
      <c r="B225" t="s">
        <v>158</v>
      </c>
      <c r="H225">
        <v>5</v>
      </c>
      <c r="I225">
        <v>3</v>
      </c>
      <c r="J225">
        <v>1</v>
      </c>
      <c r="K225">
        <v>1</v>
      </c>
      <c r="L225">
        <v>0</v>
      </c>
      <c r="M225">
        <v>10</v>
      </c>
      <c r="N225" s="2">
        <v>6.1638182635167909E-6</v>
      </c>
    </row>
    <row r="226" spans="1:14" hidden="1" x14ac:dyDescent="0.2">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
      <c r="A232" t="s">
        <v>33</v>
      </c>
      <c r="B232" t="s">
        <v>184</v>
      </c>
      <c r="H232">
        <v>250000</v>
      </c>
      <c r="I232">
        <v>275000</v>
      </c>
      <c r="J232">
        <v>290000</v>
      </c>
      <c r="K232">
        <v>250000</v>
      </c>
      <c r="L232">
        <v>275000</v>
      </c>
      <c r="M232">
        <v>1340000</v>
      </c>
      <c r="N232" s="2">
        <v>1.4539775223236851E-4</v>
      </c>
    </row>
    <row r="233" spans="1:14" hidden="1" x14ac:dyDescent="0.2">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
      <c r="A272" t="s">
        <v>33</v>
      </c>
      <c r="B272" t="s">
        <v>224</v>
      </c>
      <c r="C272">
        <v>500000</v>
      </c>
      <c r="D272">
        <v>500000</v>
      </c>
      <c r="H272">
        <v>0</v>
      </c>
      <c r="I272">
        <v>1300000</v>
      </c>
      <c r="J272">
        <v>1270000</v>
      </c>
      <c r="K272">
        <v>1300000</v>
      </c>
      <c r="L272">
        <v>1300000</v>
      </c>
      <c r="M272">
        <v>5170000</v>
      </c>
      <c r="N272" s="2">
        <v>5.6097490973234729E-4</v>
      </c>
    </row>
    <row r="273" spans="1:14" hidden="1" x14ac:dyDescent="0.2">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
      <c r="A304" t="s">
        <v>33</v>
      </c>
      <c r="B304" t="s">
        <v>211</v>
      </c>
      <c r="F304">
        <v>30000</v>
      </c>
      <c r="G304">
        <v>30000</v>
      </c>
      <c r="H304">
        <v>30000</v>
      </c>
      <c r="I304">
        <v>30000</v>
      </c>
      <c r="J304">
        <v>30000</v>
      </c>
      <c r="K304">
        <v>30000</v>
      </c>
      <c r="L304">
        <v>30000</v>
      </c>
      <c r="M304">
        <v>150000</v>
      </c>
      <c r="N304" s="2">
        <v>1.6275867787205429E-5</v>
      </c>
    </row>
    <row r="305" spans="1:14" hidden="1" x14ac:dyDescent="0.2">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
      <c r="A321" t="s">
        <v>33</v>
      </c>
      <c r="B321" t="s">
        <v>158</v>
      </c>
      <c r="E321">
        <v>6759</v>
      </c>
      <c r="F321">
        <v>2806</v>
      </c>
      <c r="G321">
        <v>2785</v>
      </c>
      <c r="H321">
        <v>1294</v>
      </c>
      <c r="I321">
        <v>1322</v>
      </c>
      <c r="J321">
        <v>3583</v>
      </c>
      <c r="K321">
        <v>5196</v>
      </c>
      <c r="L321">
        <v>4800</v>
      </c>
      <c r="M321">
        <v>16195</v>
      </c>
      <c r="N321" s="2">
        <v>1.757251192091947E-6</v>
      </c>
    </row>
    <row r="322" spans="1:14" hidden="1" x14ac:dyDescent="0.2">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
      <c r="A338" t="s">
        <v>68</v>
      </c>
      <c r="B338" t="s">
        <v>166</v>
      </c>
      <c r="D338">
        <v>0</v>
      </c>
      <c r="E338">
        <v>0</v>
      </c>
      <c r="F338">
        <v>0</v>
      </c>
      <c r="G338">
        <v>0</v>
      </c>
      <c r="H338">
        <v>99</v>
      </c>
      <c r="I338">
        <v>180</v>
      </c>
      <c r="J338">
        <v>97</v>
      </c>
      <c r="K338">
        <v>486</v>
      </c>
      <c r="L338">
        <v>0</v>
      </c>
      <c r="M338">
        <v>862</v>
      </c>
      <c r="N338" s="2">
        <v>6.3262132561498133E-6</v>
      </c>
    </row>
    <row r="339" spans="1:14" hidden="1" x14ac:dyDescent="0.2">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
      <c r="A345" t="s">
        <v>68</v>
      </c>
      <c r="B345" t="s">
        <v>169</v>
      </c>
      <c r="F345">
        <v>18000</v>
      </c>
      <c r="G345">
        <v>20000</v>
      </c>
      <c r="H345">
        <v>21000</v>
      </c>
      <c r="I345">
        <v>20042</v>
      </c>
      <c r="J345">
        <v>4052</v>
      </c>
      <c r="K345">
        <v>11172</v>
      </c>
      <c r="L345">
        <v>12674</v>
      </c>
      <c r="M345">
        <v>68940</v>
      </c>
      <c r="N345" s="2">
        <v>5.0595028060205116E-4</v>
      </c>
    </row>
    <row r="346" spans="1:14" hidden="1" x14ac:dyDescent="0.2">
      <c r="A346" t="s">
        <v>68</v>
      </c>
      <c r="B346" t="s">
        <v>117</v>
      </c>
      <c r="H346">
        <v>600</v>
      </c>
      <c r="I346">
        <v>500</v>
      </c>
      <c r="J346">
        <v>400</v>
      </c>
      <c r="K346">
        <v>400</v>
      </c>
      <c r="L346">
        <v>400</v>
      </c>
      <c r="M346">
        <v>2300</v>
      </c>
      <c r="N346" s="2">
        <v>1.687968734239509E-5</v>
      </c>
    </row>
    <row r="347" spans="1:14" hidden="1" x14ac:dyDescent="0.2">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
      <c r="A372" t="s">
        <v>68</v>
      </c>
      <c r="B372" t="s">
        <v>177</v>
      </c>
      <c r="F372">
        <v>0</v>
      </c>
      <c r="G372">
        <v>0</v>
      </c>
      <c r="H372">
        <v>0</v>
      </c>
      <c r="I372">
        <v>0</v>
      </c>
      <c r="J372">
        <v>35217</v>
      </c>
      <c r="K372">
        <v>49627</v>
      </c>
      <c r="L372">
        <v>78419</v>
      </c>
      <c r="M372">
        <v>163263</v>
      </c>
      <c r="N372" s="2">
        <v>1.198186258513674E-3</v>
      </c>
    </row>
    <row r="373" spans="1:14" hidden="1" x14ac:dyDescent="0.2">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
      <c r="A394" t="s">
        <v>68</v>
      </c>
      <c r="B394" t="s">
        <v>143</v>
      </c>
      <c r="F394">
        <v>0</v>
      </c>
      <c r="G394">
        <v>0</v>
      </c>
      <c r="H394">
        <v>0</v>
      </c>
      <c r="I394">
        <v>93</v>
      </c>
      <c r="J394">
        <v>7212</v>
      </c>
      <c r="K394">
        <v>9000</v>
      </c>
      <c r="L394">
        <v>9000</v>
      </c>
      <c r="M394">
        <v>25305</v>
      </c>
      <c r="N394" s="2">
        <v>1.857132557388295E-4</v>
      </c>
    </row>
    <row r="395" spans="1:14" hidden="1" x14ac:dyDescent="0.2">
      <c r="A395" t="s">
        <v>68</v>
      </c>
      <c r="B395" t="s">
        <v>158</v>
      </c>
      <c r="G395">
        <v>1463</v>
      </c>
      <c r="H395">
        <v>1480</v>
      </c>
      <c r="I395">
        <v>1542</v>
      </c>
      <c r="J395">
        <v>1500</v>
      </c>
      <c r="K395">
        <v>1500</v>
      </c>
      <c r="L395">
        <v>1500</v>
      </c>
      <c r="M395">
        <v>7522</v>
      </c>
      <c r="N395" s="2">
        <v>5.5203916604128651E-5</v>
      </c>
    </row>
    <row r="396" spans="1:14" hidden="1" x14ac:dyDescent="0.2">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
      <c r="A422" t="s">
        <v>67</v>
      </c>
      <c r="B422" t="s">
        <v>180</v>
      </c>
      <c r="C422">
        <v>20</v>
      </c>
      <c r="D422">
        <v>20</v>
      </c>
      <c r="E422">
        <v>20</v>
      </c>
      <c r="F422">
        <v>20</v>
      </c>
      <c r="G422">
        <v>20</v>
      </c>
      <c r="H422">
        <v>20</v>
      </c>
      <c r="I422">
        <v>0</v>
      </c>
      <c r="J422">
        <v>0</v>
      </c>
      <c r="K422">
        <v>0</v>
      </c>
      <c r="L422">
        <v>0</v>
      </c>
      <c r="M422">
        <v>20</v>
      </c>
      <c r="N422" s="2">
        <v>1.126887536623845E-3</v>
      </c>
    </row>
    <row r="423" spans="1:14" hidden="1" x14ac:dyDescent="0.2">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
      <c r="A435" t="s">
        <v>66</v>
      </c>
      <c r="B435" t="s">
        <v>86</v>
      </c>
      <c r="C435">
        <v>2</v>
      </c>
      <c r="D435">
        <v>2</v>
      </c>
      <c r="E435">
        <v>2</v>
      </c>
      <c r="F435">
        <v>3</v>
      </c>
      <c r="G435">
        <v>3</v>
      </c>
      <c r="H435">
        <v>3</v>
      </c>
      <c r="I435">
        <v>3</v>
      </c>
      <c r="J435">
        <v>3</v>
      </c>
      <c r="K435">
        <v>3</v>
      </c>
      <c r="L435">
        <v>3</v>
      </c>
      <c r="M435">
        <v>15</v>
      </c>
      <c r="N435" s="2">
        <v>5.7251908396946563E-2</v>
      </c>
    </row>
    <row r="436" spans="1:14" hidden="1" x14ac:dyDescent="0.2">
      <c r="A436" t="s">
        <v>66</v>
      </c>
      <c r="B436" t="s">
        <v>102</v>
      </c>
      <c r="C436">
        <v>3</v>
      </c>
      <c r="D436">
        <v>3</v>
      </c>
      <c r="E436">
        <v>0</v>
      </c>
      <c r="F436">
        <v>1</v>
      </c>
      <c r="G436">
        <v>1</v>
      </c>
      <c r="H436">
        <v>1</v>
      </c>
      <c r="I436">
        <v>1</v>
      </c>
      <c r="J436">
        <v>1</v>
      </c>
      <c r="K436">
        <v>1</v>
      </c>
      <c r="L436">
        <v>1</v>
      </c>
      <c r="M436">
        <v>5</v>
      </c>
      <c r="N436" s="2">
        <v>1.9083969465648859E-2</v>
      </c>
    </row>
    <row r="437" spans="1:14" hidden="1" x14ac:dyDescent="0.2">
      <c r="A437" t="s">
        <v>66</v>
      </c>
      <c r="B437" t="s">
        <v>151</v>
      </c>
      <c r="C437">
        <v>3</v>
      </c>
      <c r="D437">
        <v>8</v>
      </c>
      <c r="E437">
        <v>8</v>
      </c>
      <c r="F437">
        <v>9</v>
      </c>
      <c r="G437">
        <v>9</v>
      </c>
      <c r="H437">
        <v>11</v>
      </c>
      <c r="I437">
        <v>9</v>
      </c>
      <c r="J437">
        <v>8</v>
      </c>
      <c r="K437">
        <v>10</v>
      </c>
      <c r="L437">
        <v>9</v>
      </c>
      <c r="M437">
        <v>47</v>
      </c>
      <c r="N437" s="2">
        <v>0.1793893129770992</v>
      </c>
    </row>
    <row r="438" spans="1:14" hidden="1" x14ac:dyDescent="0.2">
      <c r="A438" t="s">
        <v>66</v>
      </c>
      <c r="B438" t="s">
        <v>107</v>
      </c>
      <c r="C438">
        <v>2</v>
      </c>
      <c r="D438">
        <v>2</v>
      </c>
      <c r="E438">
        <v>2</v>
      </c>
      <c r="F438">
        <v>2</v>
      </c>
      <c r="G438">
        <v>2</v>
      </c>
      <c r="H438">
        <v>2</v>
      </c>
      <c r="I438">
        <v>2</v>
      </c>
      <c r="J438">
        <v>2</v>
      </c>
      <c r="K438">
        <v>2</v>
      </c>
      <c r="L438">
        <v>2</v>
      </c>
      <c r="M438">
        <v>10</v>
      </c>
      <c r="N438" s="2">
        <v>3.8167938931297711E-2</v>
      </c>
    </row>
    <row r="439" spans="1:14" hidden="1" x14ac:dyDescent="0.2">
      <c r="A439" t="s">
        <v>66</v>
      </c>
      <c r="B439" t="s">
        <v>113</v>
      </c>
      <c r="C439">
        <v>8</v>
      </c>
      <c r="D439">
        <v>7</v>
      </c>
      <c r="E439">
        <v>9</v>
      </c>
      <c r="F439">
        <v>8</v>
      </c>
      <c r="G439">
        <v>8</v>
      </c>
      <c r="H439">
        <v>8</v>
      </c>
      <c r="I439">
        <v>8</v>
      </c>
      <c r="J439">
        <v>8</v>
      </c>
      <c r="K439">
        <v>9</v>
      </c>
      <c r="L439">
        <v>9</v>
      </c>
      <c r="M439">
        <v>42</v>
      </c>
      <c r="N439" s="2">
        <v>0.1603053435114504</v>
      </c>
    </row>
    <row r="440" spans="1:14" hidden="1" x14ac:dyDescent="0.2">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
      <c r="A441" t="s">
        <v>65</v>
      </c>
      <c r="B441" t="s">
        <v>187</v>
      </c>
      <c r="H441">
        <v>30</v>
      </c>
      <c r="I441">
        <v>480</v>
      </c>
      <c r="J441">
        <v>150</v>
      </c>
      <c r="K441">
        <v>250</v>
      </c>
      <c r="L441">
        <v>150</v>
      </c>
      <c r="M441">
        <v>1060</v>
      </c>
      <c r="N441" s="2">
        <v>8.6529058253647685E-4</v>
      </c>
    </row>
    <row r="442" spans="1:14" hidden="1" x14ac:dyDescent="0.2">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
      <c r="A444" t="s">
        <v>65</v>
      </c>
      <c r="B444" t="s">
        <v>141</v>
      </c>
      <c r="G444">
        <v>0</v>
      </c>
      <c r="H444">
        <v>0</v>
      </c>
      <c r="I444">
        <v>2000</v>
      </c>
      <c r="J444">
        <v>2800</v>
      </c>
      <c r="K444">
        <v>3200</v>
      </c>
      <c r="L444">
        <v>3500</v>
      </c>
      <c r="M444">
        <v>11500</v>
      </c>
      <c r="N444" s="2">
        <v>9.3875865086504567E-3</v>
      </c>
    </row>
    <row r="445" spans="1:14" hidden="1" x14ac:dyDescent="0.2">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
      <c r="A450" t="s">
        <v>64</v>
      </c>
      <c r="B450" t="s">
        <v>83</v>
      </c>
      <c r="I450">
        <v>0</v>
      </c>
      <c r="J450">
        <v>0</v>
      </c>
      <c r="K450">
        <v>10537</v>
      </c>
      <c r="L450">
        <v>16446</v>
      </c>
      <c r="M450">
        <v>26983</v>
      </c>
      <c r="N450" s="2">
        <v>8.0423113262377319E-2</v>
      </c>
    </row>
    <row r="451" spans="1:14" hidden="1" x14ac:dyDescent="0.2">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
      <c r="A462" t="s">
        <v>63</v>
      </c>
      <c r="B462" t="s">
        <v>179</v>
      </c>
      <c r="C462">
        <v>3</v>
      </c>
      <c r="D462">
        <v>2</v>
      </c>
      <c r="E462">
        <v>3</v>
      </c>
      <c r="F462">
        <v>2</v>
      </c>
      <c r="G462">
        <v>4</v>
      </c>
      <c r="H462">
        <v>2</v>
      </c>
      <c r="I462">
        <v>5</v>
      </c>
      <c r="J462">
        <v>10</v>
      </c>
      <c r="K462">
        <v>20</v>
      </c>
      <c r="L462">
        <v>20</v>
      </c>
      <c r="M462">
        <v>57</v>
      </c>
      <c r="N462" s="2">
        <v>5.3346411003212008E-5</v>
      </c>
    </row>
    <row r="463" spans="1:14" hidden="1" x14ac:dyDescent="0.2">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
      <c r="A474" t="s">
        <v>61</v>
      </c>
      <c r="B474" t="s">
        <v>160</v>
      </c>
      <c r="C474">
        <v>1700</v>
      </c>
      <c r="D474">
        <v>3000</v>
      </c>
      <c r="E474">
        <v>1300</v>
      </c>
      <c r="G474">
        <v>0</v>
      </c>
      <c r="H474">
        <v>0</v>
      </c>
      <c r="I474">
        <v>0</v>
      </c>
      <c r="J474">
        <v>0</v>
      </c>
      <c r="K474">
        <v>1600</v>
      </c>
      <c r="L474">
        <v>1400</v>
      </c>
      <c r="M474">
        <v>3000</v>
      </c>
      <c r="N474" s="2">
        <v>2.5945103316307259E-6</v>
      </c>
    </row>
    <row r="475" spans="1:14" hidden="1" x14ac:dyDescent="0.2">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
      <c r="A495" t="s">
        <v>61</v>
      </c>
      <c r="B495" t="s">
        <v>205</v>
      </c>
      <c r="F495">
        <v>800000</v>
      </c>
      <c r="G495">
        <v>1000000</v>
      </c>
      <c r="H495">
        <v>1000000</v>
      </c>
      <c r="I495">
        <v>917200</v>
      </c>
      <c r="J495">
        <v>643900</v>
      </c>
      <c r="K495">
        <v>1427500</v>
      </c>
      <c r="L495">
        <v>1400000</v>
      </c>
      <c r="M495">
        <v>5388600</v>
      </c>
      <c r="N495" s="2">
        <v>4.6602594576751104E-3</v>
      </c>
    </row>
    <row r="496" spans="1:14" hidden="1" x14ac:dyDescent="0.2">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
      <c r="A514" t="s">
        <v>62</v>
      </c>
      <c r="B514" t="s">
        <v>151</v>
      </c>
      <c r="C514">
        <v>23</v>
      </c>
      <c r="D514">
        <v>30</v>
      </c>
      <c r="E514">
        <v>25</v>
      </c>
      <c r="F514">
        <v>20</v>
      </c>
      <c r="G514">
        <v>30</v>
      </c>
      <c r="H514">
        <v>7</v>
      </c>
      <c r="I514">
        <v>7</v>
      </c>
      <c r="J514">
        <v>7</v>
      </c>
      <c r="K514">
        <v>7</v>
      </c>
      <c r="L514">
        <v>7</v>
      </c>
      <c r="M514">
        <v>35</v>
      </c>
      <c r="N514" s="2">
        <v>2.901508701624596E-5</v>
      </c>
    </row>
    <row r="515" spans="1:14" hidden="1" x14ac:dyDescent="0.2">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
      <c r="A536" t="s">
        <v>60</v>
      </c>
      <c r="B536" t="s">
        <v>166</v>
      </c>
      <c r="H536">
        <v>0</v>
      </c>
      <c r="I536">
        <v>0</v>
      </c>
      <c r="J536">
        <v>0</v>
      </c>
      <c r="K536">
        <v>0</v>
      </c>
      <c r="L536">
        <v>227</v>
      </c>
      <c r="M536">
        <v>227</v>
      </c>
      <c r="N536" s="2">
        <v>1.873691872114504E-5</v>
      </c>
    </row>
    <row r="537" spans="1:14" hidden="1" x14ac:dyDescent="0.2">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
      <c r="A542" t="s">
        <v>60</v>
      </c>
      <c r="B542" t="s">
        <v>97</v>
      </c>
      <c r="D542">
        <v>290</v>
      </c>
      <c r="E542">
        <v>490</v>
      </c>
      <c r="F542">
        <v>1800</v>
      </c>
      <c r="G542">
        <v>300</v>
      </c>
      <c r="H542">
        <v>100</v>
      </c>
      <c r="I542">
        <v>100</v>
      </c>
      <c r="J542">
        <v>50</v>
      </c>
      <c r="K542">
        <v>0</v>
      </c>
      <c r="L542">
        <v>0</v>
      </c>
      <c r="M542">
        <v>250</v>
      </c>
      <c r="N542" s="2">
        <v>2.063537304090864E-5</v>
      </c>
    </row>
    <row r="543" spans="1:14" hidden="1" x14ac:dyDescent="0.2">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
      <c r="A548" t="s">
        <v>60</v>
      </c>
      <c r="B548" t="s">
        <v>161</v>
      </c>
      <c r="H548">
        <v>0</v>
      </c>
      <c r="I548">
        <v>0</v>
      </c>
      <c r="J548">
        <v>0</v>
      </c>
      <c r="K548">
        <v>0</v>
      </c>
      <c r="L548">
        <v>100</v>
      </c>
      <c r="M548">
        <v>100</v>
      </c>
      <c r="N548" s="2">
        <v>8.2541492163634552E-6</v>
      </c>
    </row>
    <row r="549" spans="1:14" hidden="1" x14ac:dyDescent="0.2">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
      <c r="A584" t="s">
        <v>59</v>
      </c>
      <c r="B584" t="s">
        <v>143</v>
      </c>
      <c r="F584">
        <v>0</v>
      </c>
      <c r="G584">
        <v>0</v>
      </c>
      <c r="H584">
        <v>0</v>
      </c>
      <c r="I584">
        <v>487</v>
      </c>
      <c r="J584">
        <v>1110</v>
      </c>
      <c r="K584">
        <v>3226</v>
      </c>
      <c r="L584">
        <v>3834</v>
      </c>
      <c r="M584">
        <v>8657</v>
      </c>
      <c r="N584" s="2">
        <v>6.9407029696619846E-4</v>
      </c>
    </row>
    <row r="585" spans="1:14" hidden="1" x14ac:dyDescent="0.2">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
      <c r="A593" t="s">
        <v>58</v>
      </c>
      <c r="B593" t="s">
        <v>102</v>
      </c>
      <c r="F593">
        <v>0</v>
      </c>
      <c r="G593">
        <v>0</v>
      </c>
      <c r="H593">
        <v>0</v>
      </c>
      <c r="I593">
        <v>149</v>
      </c>
      <c r="J593">
        <v>258</v>
      </c>
      <c r="K593">
        <v>400</v>
      </c>
      <c r="L593">
        <v>396</v>
      </c>
      <c r="M593">
        <v>1203</v>
      </c>
      <c r="N593" s="2">
        <v>8.1793834662228181E-4</v>
      </c>
    </row>
    <row r="594" spans="1:14" hidden="1" x14ac:dyDescent="0.2">
      <c r="A594" t="s">
        <v>58</v>
      </c>
      <c r="B594" t="s">
        <v>170</v>
      </c>
      <c r="H594">
        <v>21</v>
      </c>
      <c r="I594">
        <v>20</v>
      </c>
      <c r="J594">
        <v>23</v>
      </c>
      <c r="K594">
        <v>20</v>
      </c>
      <c r="L594">
        <v>15</v>
      </c>
      <c r="M594">
        <v>99</v>
      </c>
      <c r="N594" s="2">
        <v>6.7311634510063096E-5</v>
      </c>
    </row>
    <row r="595" spans="1:14" hidden="1" x14ac:dyDescent="0.2">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
      <c r="A597" t="s">
        <v>58</v>
      </c>
      <c r="B597" t="s">
        <v>132</v>
      </c>
      <c r="C597">
        <v>4</v>
      </c>
      <c r="D597">
        <v>8</v>
      </c>
      <c r="E597">
        <v>2</v>
      </c>
      <c r="F597">
        <v>1</v>
      </c>
      <c r="G597">
        <v>2</v>
      </c>
      <c r="H597">
        <v>2</v>
      </c>
      <c r="I597">
        <v>2</v>
      </c>
      <c r="J597">
        <v>2</v>
      </c>
      <c r="K597">
        <v>2</v>
      </c>
      <c r="L597">
        <v>2</v>
      </c>
      <c r="M597">
        <v>10</v>
      </c>
      <c r="N597" s="2">
        <v>6.7991550010164737E-6</v>
      </c>
    </row>
    <row r="598" spans="1:14" hidden="1" x14ac:dyDescent="0.2">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
      <c r="A604" t="s">
        <v>57</v>
      </c>
      <c r="B604" t="s">
        <v>144</v>
      </c>
      <c r="F604">
        <v>0</v>
      </c>
      <c r="G604">
        <v>0</v>
      </c>
      <c r="H604">
        <v>0</v>
      </c>
      <c r="I604">
        <v>550</v>
      </c>
      <c r="J604">
        <v>3550</v>
      </c>
      <c r="K604">
        <v>4700</v>
      </c>
      <c r="L604">
        <v>5100</v>
      </c>
      <c r="M604">
        <v>13900</v>
      </c>
      <c r="N604" s="2">
        <v>5.0946559961454778E-5</v>
      </c>
    </row>
    <row r="605" spans="1:14" hidden="1" x14ac:dyDescent="0.2">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
      <c r="A609" t="s">
        <v>57</v>
      </c>
      <c r="B609" t="s">
        <v>159</v>
      </c>
      <c r="F609">
        <v>0</v>
      </c>
      <c r="G609">
        <v>0</v>
      </c>
      <c r="H609">
        <v>0</v>
      </c>
      <c r="I609">
        <v>14884</v>
      </c>
      <c r="J609">
        <v>4935</v>
      </c>
      <c r="K609">
        <v>5000</v>
      </c>
      <c r="L609">
        <v>5000</v>
      </c>
      <c r="M609">
        <v>29819</v>
      </c>
      <c r="N609" s="2">
        <v>1.092931993878144E-4</v>
      </c>
    </row>
    <row r="610" spans="1:14" hidden="1" x14ac:dyDescent="0.2">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
      <c r="A624" t="s">
        <v>57</v>
      </c>
      <c r="B624" t="s">
        <v>146</v>
      </c>
      <c r="F624">
        <v>0</v>
      </c>
      <c r="G624">
        <v>2650</v>
      </c>
      <c r="H624">
        <v>2500</v>
      </c>
      <c r="I624">
        <v>46400</v>
      </c>
      <c r="J624">
        <v>41800</v>
      </c>
      <c r="K624">
        <v>22500</v>
      </c>
      <c r="L624">
        <v>20160</v>
      </c>
      <c r="M624">
        <v>133360</v>
      </c>
      <c r="N624" s="2">
        <v>4.8879375801867697E-4</v>
      </c>
    </row>
    <row r="625" spans="1:14" hidden="1" x14ac:dyDescent="0.2">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
      <c r="A632" t="s">
        <v>57</v>
      </c>
      <c r="B632" t="s">
        <v>143</v>
      </c>
      <c r="F632">
        <v>140000</v>
      </c>
      <c r="G632">
        <v>120000</v>
      </c>
      <c r="H632">
        <v>92675</v>
      </c>
      <c r="I632">
        <v>77277</v>
      </c>
      <c r="J632">
        <v>15904</v>
      </c>
      <c r="K632">
        <v>46515</v>
      </c>
      <c r="L632">
        <v>132241</v>
      </c>
      <c r="M632">
        <v>364612</v>
      </c>
      <c r="N632" s="2">
        <v>1.3363832460910759E-3</v>
      </c>
    </row>
    <row r="633" spans="1:14" hidden="1" x14ac:dyDescent="0.2">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
      <c r="A639" t="s">
        <v>56</v>
      </c>
      <c r="B639" t="s">
        <v>112</v>
      </c>
      <c r="F639">
        <v>100</v>
      </c>
      <c r="G639">
        <v>3750</v>
      </c>
      <c r="H639">
        <v>4000</v>
      </c>
      <c r="I639">
        <v>4500</v>
      </c>
      <c r="J639">
        <v>4500</v>
      </c>
      <c r="K639">
        <v>4500</v>
      </c>
      <c r="L639">
        <v>4500</v>
      </c>
      <c r="M639">
        <v>22000</v>
      </c>
      <c r="N639" s="2">
        <v>4.4629761640557581E-3</v>
      </c>
    </row>
    <row r="640" spans="1:14" hidden="1" x14ac:dyDescent="0.2">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
      <c r="A647" t="s">
        <v>55</v>
      </c>
      <c r="B647" t="s">
        <v>154</v>
      </c>
      <c r="F647">
        <v>22390</v>
      </c>
      <c r="G647">
        <v>54227</v>
      </c>
      <c r="H647">
        <v>63850</v>
      </c>
      <c r="I647">
        <v>49601</v>
      </c>
      <c r="J647">
        <v>37002</v>
      </c>
      <c r="K647">
        <v>136167</v>
      </c>
      <c r="L647">
        <v>179781</v>
      </c>
      <c r="M647">
        <v>466401</v>
      </c>
      <c r="N647" s="2">
        <v>2.9859511236828939E-3</v>
      </c>
    </row>
    <row r="648" spans="1:14" hidden="1" x14ac:dyDescent="0.2">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
      <c r="A665" t="s">
        <v>54</v>
      </c>
      <c r="B665" t="s">
        <v>124</v>
      </c>
      <c r="G665">
        <v>24409</v>
      </c>
      <c r="H665">
        <v>26559</v>
      </c>
      <c r="I665">
        <v>29707</v>
      </c>
      <c r="J665">
        <v>30009</v>
      </c>
      <c r="K665">
        <v>26846</v>
      </c>
      <c r="L665">
        <v>47917</v>
      </c>
      <c r="M665">
        <v>161038</v>
      </c>
      <c r="N665" s="2">
        <v>1.517196806536162E-2</v>
      </c>
    </row>
    <row r="666" spans="1:14" hidden="1" x14ac:dyDescent="0.2">
      <c r="A666" t="s">
        <v>54</v>
      </c>
      <c r="B666" t="s">
        <v>124</v>
      </c>
      <c r="G666">
        <v>6468</v>
      </c>
      <c r="H666">
        <v>4501</v>
      </c>
      <c r="I666">
        <v>5005</v>
      </c>
      <c r="J666">
        <v>4284</v>
      </c>
      <c r="K666">
        <v>7705</v>
      </c>
      <c r="L666">
        <v>6017</v>
      </c>
      <c r="M666">
        <v>27512</v>
      </c>
      <c r="N666" s="2">
        <v>2.5920042810655178E-3</v>
      </c>
    </row>
    <row r="667" spans="1:14" hidden="1" x14ac:dyDescent="0.2">
      <c r="A667" t="s">
        <v>54</v>
      </c>
      <c r="B667" t="s">
        <v>124</v>
      </c>
      <c r="H667">
        <v>4993</v>
      </c>
      <c r="I667">
        <v>5585</v>
      </c>
      <c r="J667">
        <v>5642</v>
      </c>
      <c r="K667">
        <v>5047</v>
      </c>
      <c r="L667">
        <v>9008</v>
      </c>
      <c r="M667">
        <v>30275</v>
      </c>
      <c r="N667" s="2">
        <v>2.852316429531061E-3</v>
      </c>
    </row>
    <row r="668" spans="1:14" hidden="1" x14ac:dyDescent="0.2">
      <c r="A668" t="s">
        <v>54</v>
      </c>
      <c r="B668" t="s">
        <v>124</v>
      </c>
      <c r="H668">
        <v>734</v>
      </c>
      <c r="I668">
        <v>816</v>
      </c>
      <c r="J668">
        <v>698</v>
      </c>
      <c r="K668">
        <v>1256</v>
      </c>
      <c r="L668">
        <v>981</v>
      </c>
      <c r="M668">
        <v>4485</v>
      </c>
      <c r="N668" s="2">
        <v>4.2254795000650072E-4</v>
      </c>
    </row>
    <row r="669" spans="1:14" hidden="1" x14ac:dyDescent="0.2">
      <c r="A669" t="s">
        <v>54</v>
      </c>
      <c r="B669" t="s">
        <v>83</v>
      </c>
      <c r="H669">
        <v>47512</v>
      </c>
      <c r="I669">
        <v>54731</v>
      </c>
      <c r="J669">
        <v>44217</v>
      </c>
      <c r="K669">
        <v>41200</v>
      </c>
      <c r="L669">
        <v>55281</v>
      </c>
      <c r="M669">
        <v>242941</v>
      </c>
      <c r="N669" s="2">
        <v>2.2888343706249561E-2</v>
      </c>
    </row>
    <row r="670" spans="1:14" hidden="1" x14ac:dyDescent="0.2">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
      <c r="A672" t="s">
        <v>54</v>
      </c>
      <c r="B672" t="s">
        <v>144</v>
      </c>
      <c r="H672">
        <v>11</v>
      </c>
      <c r="I672">
        <v>43</v>
      </c>
      <c r="J672">
        <v>75</v>
      </c>
      <c r="K672">
        <v>36</v>
      </c>
      <c r="L672">
        <v>102</v>
      </c>
      <c r="M672">
        <v>267</v>
      </c>
      <c r="N672" s="2">
        <v>2.5155028461925459E-5</v>
      </c>
    </row>
    <row r="673" spans="1:14" hidden="1" x14ac:dyDescent="0.2">
      <c r="A673" t="s">
        <v>54</v>
      </c>
      <c r="B673" t="s">
        <v>85</v>
      </c>
      <c r="H673">
        <v>255</v>
      </c>
      <c r="I673">
        <v>139</v>
      </c>
      <c r="J673">
        <v>111</v>
      </c>
      <c r="K673">
        <v>88</v>
      </c>
      <c r="L673">
        <v>93</v>
      </c>
      <c r="M673">
        <v>686</v>
      </c>
      <c r="N673" s="2">
        <v>6.4630522565096876E-5</v>
      </c>
    </row>
    <row r="674" spans="1:14" hidden="1" x14ac:dyDescent="0.2">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
      <c r="A675" t="s">
        <v>54</v>
      </c>
      <c r="B675" t="s">
        <v>116</v>
      </c>
      <c r="H675">
        <v>32</v>
      </c>
      <c r="I675">
        <v>4092</v>
      </c>
      <c r="J675">
        <v>263</v>
      </c>
      <c r="K675">
        <v>0</v>
      </c>
      <c r="L675">
        <v>0</v>
      </c>
      <c r="M675">
        <v>4387</v>
      </c>
      <c r="N675" s="2">
        <v>4.1331501821148688E-4</v>
      </c>
    </row>
    <row r="676" spans="1:14" hidden="1" x14ac:dyDescent="0.2">
      <c r="A676" t="s">
        <v>54</v>
      </c>
      <c r="B676" t="s">
        <v>116</v>
      </c>
      <c r="D676">
        <v>0</v>
      </c>
      <c r="E676">
        <v>0</v>
      </c>
      <c r="F676">
        <v>0</v>
      </c>
      <c r="G676">
        <v>0</v>
      </c>
      <c r="H676">
        <v>1100</v>
      </c>
      <c r="I676">
        <v>140000</v>
      </c>
      <c r="J676">
        <v>9000</v>
      </c>
      <c r="K676">
        <v>0</v>
      </c>
      <c r="L676">
        <v>0</v>
      </c>
      <c r="M676">
        <v>150100</v>
      </c>
      <c r="N676" s="2">
        <v>1.414145982073038E-2</v>
      </c>
    </row>
    <row r="677" spans="1:14" hidden="1" x14ac:dyDescent="0.2">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
      <c r="A679" t="s">
        <v>54</v>
      </c>
      <c r="B679" t="s">
        <v>145</v>
      </c>
      <c r="H679">
        <v>13830</v>
      </c>
      <c r="I679">
        <v>16361</v>
      </c>
      <c r="J679">
        <v>18948</v>
      </c>
      <c r="K679">
        <v>21481</v>
      </c>
      <c r="L679">
        <v>28265</v>
      </c>
      <c r="M679">
        <v>98885</v>
      </c>
      <c r="N679" s="2">
        <v>9.3163108219381993E-3</v>
      </c>
    </row>
    <row r="680" spans="1:14" hidden="1" x14ac:dyDescent="0.2">
      <c r="A680" t="s">
        <v>54</v>
      </c>
      <c r="B680" t="s">
        <v>145</v>
      </c>
      <c r="H680">
        <v>413</v>
      </c>
      <c r="I680">
        <v>624</v>
      </c>
      <c r="J680">
        <v>307</v>
      </c>
      <c r="K680">
        <v>0</v>
      </c>
      <c r="L680">
        <v>0</v>
      </c>
      <c r="M680">
        <v>1344</v>
      </c>
      <c r="N680" s="2">
        <v>1.2662306461733269E-4</v>
      </c>
    </row>
    <row r="681" spans="1:14" hidden="1" x14ac:dyDescent="0.2">
      <c r="A681" t="s">
        <v>54</v>
      </c>
      <c r="B681" t="s">
        <v>145</v>
      </c>
      <c r="H681">
        <v>871</v>
      </c>
      <c r="I681">
        <v>1067</v>
      </c>
      <c r="J681">
        <v>1639</v>
      </c>
      <c r="K681">
        <v>1490</v>
      </c>
      <c r="L681">
        <v>2001</v>
      </c>
      <c r="M681">
        <v>7068</v>
      </c>
      <c r="N681" s="2">
        <v>6.6590165231793696E-4</v>
      </c>
    </row>
    <row r="682" spans="1:14" hidden="1" x14ac:dyDescent="0.2">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
      <c r="A683" t="s">
        <v>54</v>
      </c>
      <c r="B683" t="s">
        <v>86</v>
      </c>
      <c r="H683">
        <v>7000</v>
      </c>
      <c r="I683">
        <v>7100</v>
      </c>
      <c r="J683">
        <v>10800</v>
      </c>
      <c r="K683">
        <v>13300</v>
      </c>
      <c r="L683">
        <v>14000</v>
      </c>
      <c r="M683">
        <v>52200</v>
      </c>
      <c r="N683" s="2">
        <v>4.9179493846910451E-3</v>
      </c>
    </row>
    <row r="684" spans="1:14" hidden="1" x14ac:dyDescent="0.2">
      <c r="A684" t="s">
        <v>54</v>
      </c>
      <c r="B684" t="s">
        <v>175</v>
      </c>
      <c r="E684">
        <v>0</v>
      </c>
      <c r="F684">
        <v>0</v>
      </c>
      <c r="G684">
        <v>0</v>
      </c>
      <c r="H684">
        <v>0</v>
      </c>
      <c r="I684">
        <v>30000</v>
      </c>
      <c r="J684">
        <v>0</v>
      </c>
      <c r="K684">
        <v>0</v>
      </c>
      <c r="L684">
        <v>0</v>
      </c>
      <c r="M684">
        <v>30000</v>
      </c>
      <c r="N684" s="2">
        <v>2.8264076923511751E-3</v>
      </c>
    </row>
    <row r="685" spans="1:14" hidden="1" x14ac:dyDescent="0.2">
      <c r="A685" t="s">
        <v>54</v>
      </c>
      <c r="B685" t="s">
        <v>175</v>
      </c>
      <c r="H685">
        <v>0</v>
      </c>
      <c r="I685">
        <v>88</v>
      </c>
      <c r="J685">
        <v>0</v>
      </c>
      <c r="K685">
        <v>0</v>
      </c>
      <c r="L685">
        <v>0</v>
      </c>
      <c r="M685">
        <v>88</v>
      </c>
      <c r="N685" s="2">
        <v>8.2907958975634482E-6</v>
      </c>
    </row>
    <row r="686" spans="1:14" hidden="1" x14ac:dyDescent="0.2">
      <c r="A686" t="s">
        <v>54</v>
      </c>
      <c r="B686" t="s">
        <v>203</v>
      </c>
      <c r="H686">
        <v>0</v>
      </c>
      <c r="I686">
        <v>24</v>
      </c>
      <c r="J686">
        <v>2</v>
      </c>
      <c r="K686">
        <v>2</v>
      </c>
      <c r="L686">
        <v>2</v>
      </c>
      <c r="M686">
        <v>30</v>
      </c>
      <c r="N686" s="2">
        <v>2.8264076923511749E-6</v>
      </c>
    </row>
    <row r="687" spans="1:14" hidden="1" x14ac:dyDescent="0.2">
      <c r="A687" t="s">
        <v>54</v>
      </c>
      <c r="B687" t="s">
        <v>203</v>
      </c>
      <c r="G687">
        <v>0</v>
      </c>
      <c r="H687">
        <v>0</v>
      </c>
      <c r="I687">
        <v>1267</v>
      </c>
      <c r="J687">
        <v>133</v>
      </c>
      <c r="K687">
        <v>130</v>
      </c>
      <c r="L687">
        <v>130</v>
      </c>
      <c r="M687">
        <v>1660</v>
      </c>
      <c r="N687" s="2">
        <v>1.5639455897676499E-4</v>
      </c>
    </row>
    <row r="688" spans="1:14" hidden="1" x14ac:dyDescent="0.2">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
      <c r="A689" t="s">
        <v>54</v>
      </c>
      <c r="B689" t="s">
        <v>178</v>
      </c>
      <c r="H689">
        <v>538</v>
      </c>
      <c r="I689">
        <v>535</v>
      </c>
      <c r="J689">
        <v>417</v>
      </c>
      <c r="K689">
        <v>161</v>
      </c>
      <c r="L689">
        <v>129</v>
      </c>
      <c r="M689">
        <v>1780</v>
      </c>
      <c r="N689" s="2">
        <v>1.6770018974616969E-4</v>
      </c>
    </row>
    <row r="690" spans="1:14" hidden="1" x14ac:dyDescent="0.2">
      <c r="A690" t="s">
        <v>54</v>
      </c>
      <c r="B690" t="s">
        <v>113</v>
      </c>
      <c r="H690">
        <v>4000</v>
      </c>
      <c r="I690">
        <v>7000</v>
      </c>
      <c r="J690">
        <v>4000</v>
      </c>
      <c r="K690">
        <v>4000</v>
      </c>
      <c r="L690">
        <v>5000</v>
      </c>
      <c r="M690">
        <v>24000</v>
      </c>
      <c r="N690" s="2">
        <v>2.261126153880941E-3</v>
      </c>
    </row>
    <row r="691" spans="1:14" hidden="1" x14ac:dyDescent="0.2">
      <c r="A691" t="s">
        <v>54</v>
      </c>
      <c r="B691" t="s">
        <v>158</v>
      </c>
      <c r="H691">
        <v>970</v>
      </c>
      <c r="I691">
        <v>1332</v>
      </c>
      <c r="J691">
        <v>1237</v>
      </c>
      <c r="K691">
        <v>397</v>
      </c>
      <c r="L691">
        <v>476</v>
      </c>
      <c r="M691">
        <v>4412</v>
      </c>
      <c r="N691" s="2">
        <v>4.1567035795511291E-4</v>
      </c>
    </row>
    <row r="692" spans="1:14" hidden="1" x14ac:dyDescent="0.2">
      <c r="A692" t="s">
        <v>54</v>
      </c>
      <c r="B692" t="s">
        <v>158</v>
      </c>
      <c r="G692">
        <v>48000</v>
      </c>
      <c r="H692">
        <v>51000</v>
      </c>
      <c r="I692">
        <v>70000</v>
      </c>
      <c r="J692">
        <v>65000</v>
      </c>
      <c r="K692">
        <v>20859</v>
      </c>
      <c r="L692">
        <v>25000</v>
      </c>
      <c r="M692">
        <v>231859</v>
      </c>
      <c r="N692" s="2">
        <v>2.1844268704695038E-2</v>
      </c>
    </row>
    <row r="693" spans="1:14" hidden="1" x14ac:dyDescent="0.2">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
      <c r="A710" t="s">
        <v>53</v>
      </c>
      <c r="B710" t="s">
        <v>160</v>
      </c>
      <c r="G710">
        <v>5000</v>
      </c>
      <c r="H710">
        <v>5000</v>
      </c>
      <c r="I710">
        <v>5000</v>
      </c>
      <c r="J710">
        <v>5000</v>
      </c>
      <c r="K710">
        <v>5000</v>
      </c>
      <c r="L710">
        <v>5000</v>
      </c>
      <c r="M710">
        <v>25000</v>
      </c>
      <c r="N710" s="2">
        <v>3.97408521287561E-4</v>
      </c>
    </row>
    <row r="711" spans="1:14" hidden="1" x14ac:dyDescent="0.2">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
      <c r="A713" t="s">
        <v>53</v>
      </c>
      <c r="B713" t="s">
        <v>128</v>
      </c>
      <c r="F713">
        <v>24000</v>
      </c>
      <c r="G713">
        <v>25000</v>
      </c>
      <c r="H713">
        <v>26000</v>
      </c>
      <c r="I713">
        <v>26000</v>
      </c>
      <c r="J713">
        <v>28000</v>
      </c>
      <c r="K713">
        <v>26000</v>
      </c>
      <c r="L713">
        <v>26000</v>
      </c>
      <c r="M713">
        <v>132000</v>
      </c>
      <c r="N713" s="2">
        <v>2.0983169923983222E-3</v>
      </c>
    </row>
    <row r="714" spans="1:14" hidden="1" x14ac:dyDescent="0.2">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
      <c r="A740" t="s">
        <v>53</v>
      </c>
      <c r="B740" t="s">
        <v>133</v>
      </c>
      <c r="H740">
        <v>5</v>
      </c>
      <c r="I740">
        <v>10</v>
      </c>
      <c r="J740">
        <v>10</v>
      </c>
      <c r="K740">
        <v>9</v>
      </c>
      <c r="L740">
        <v>10</v>
      </c>
      <c r="M740">
        <v>44</v>
      </c>
      <c r="N740" s="2">
        <v>6.9943899746610734E-7</v>
      </c>
    </row>
    <row r="741" spans="1:14" hidden="1" x14ac:dyDescent="0.2">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
      <c r="A751" t="s">
        <v>53</v>
      </c>
      <c r="B751" t="s">
        <v>135</v>
      </c>
      <c r="F751">
        <v>3155</v>
      </c>
      <c r="G751">
        <v>110</v>
      </c>
      <c r="H751">
        <v>9000</v>
      </c>
      <c r="I751">
        <v>9000</v>
      </c>
      <c r="J751">
        <v>9000</v>
      </c>
      <c r="K751">
        <v>8000</v>
      </c>
      <c r="L751">
        <v>9000</v>
      </c>
      <c r="M751">
        <v>44000</v>
      </c>
      <c r="N751" s="2">
        <v>6.9943899746610736E-4</v>
      </c>
    </row>
    <row r="752" spans="1:14" hidden="1" x14ac:dyDescent="0.2">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
      <c r="A758" t="s">
        <v>53</v>
      </c>
      <c r="B758" t="s">
        <v>139</v>
      </c>
      <c r="K758">
        <v>2800</v>
      </c>
      <c r="L758">
        <v>3000</v>
      </c>
      <c r="M758">
        <v>5800</v>
      </c>
      <c r="N758" s="2">
        <v>9.2198776938714157E-5</v>
      </c>
    </row>
    <row r="759" spans="1:14" hidden="1" x14ac:dyDescent="0.2">
      <c r="A759" t="s">
        <v>53</v>
      </c>
      <c r="B759" t="s">
        <v>111</v>
      </c>
      <c r="G759">
        <v>0</v>
      </c>
      <c r="H759">
        <v>0</v>
      </c>
      <c r="I759">
        <v>0</v>
      </c>
      <c r="J759">
        <v>0</v>
      </c>
      <c r="K759">
        <v>2800</v>
      </c>
      <c r="L759">
        <v>6000</v>
      </c>
      <c r="M759">
        <v>8800</v>
      </c>
      <c r="N759" s="2">
        <v>1.3988779949322149E-4</v>
      </c>
    </row>
    <row r="760" spans="1:14" hidden="1" x14ac:dyDescent="0.2">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
      <c r="A767" t="s">
        <v>53</v>
      </c>
      <c r="B767" t="s">
        <v>180</v>
      </c>
      <c r="H767">
        <v>26000</v>
      </c>
      <c r="I767">
        <v>21300</v>
      </c>
      <c r="J767">
        <v>21000</v>
      </c>
      <c r="K767">
        <v>20000</v>
      </c>
      <c r="L767">
        <v>20000</v>
      </c>
      <c r="M767">
        <v>108300</v>
      </c>
      <c r="N767" s="2">
        <v>1.7215737142177139E-3</v>
      </c>
    </row>
    <row r="768" spans="1:14" hidden="1" x14ac:dyDescent="0.2">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
      <c r="A769" t="s">
        <v>53</v>
      </c>
      <c r="B769" t="s">
        <v>115</v>
      </c>
      <c r="F769">
        <v>22000</v>
      </c>
      <c r="G769">
        <v>25000</v>
      </c>
      <c r="H769">
        <v>31200</v>
      </c>
      <c r="I769">
        <v>32000</v>
      </c>
      <c r="J769">
        <v>34000</v>
      </c>
      <c r="K769">
        <v>34000</v>
      </c>
      <c r="L769">
        <v>34000</v>
      </c>
      <c r="M769">
        <v>165200</v>
      </c>
      <c r="N769" s="2">
        <v>2.6260755086682029E-3</v>
      </c>
    </row>
    <row r="770" spans="1:14" hidden="1" x14ac:dyDescent="0.2">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
      <c r="A780" t="s">
        <v>52</v>
      </c>
      <c r="B780" t="s">
        <v>160</v>
      </c>
      <c r="E780">
        <v>0</v>
      </c>
      <c r="F780">
        <v>0</v>
      </c>
      <c r="G780">
        <v>0</v>
      </c>
      <c r="H780">
        <v>1500</v>
      </c>
      <c r="I780">
        <v>25400</v>
      </c>
      <c r="J780">
        <v>35000</v>
      </c>
      <c r="K780">
        <v>30000</v>
      </c>
      <c r="L780">
        <v>30000</v>
      </c>
      <c r="M780">
        <v>121900</v>
      </c>
      <c r="N780" s="2">
        <v>5.3281879676315416E-3</v>
      </c>
    </row>
    <row r="781" spans="1:14" hidden="1" x14ac:dyDescent="0.2">
      <c r="A781" t="s">
        <v>52</v>
      </c>
      <c r="B781" t="s">
        <v>154</v>
      </c>
      <c r="F781">
        <v>0</v>
      </c>
      <c r="G781">
        <v>0</v>
      </c>
      <c r="H781">
        <v>0</v>
      </c>
      <c r="I781">
        <v>0</v>
      </c>
      <c r="J781">
        <v>937</v>
      </c>
      <c r="K781">
        <v>1530</v>
      </c>
      <c r="L781">
        <v>1494</v>
      </c>
      <c r="M781">
        <v>3961</v>
      </c>
      <c r="N781" s="2">
        <v>1.731333268235319E-4</v>
      </c>
    </row>
    <row r="782" spans="1:14" hidden="1" x14ac:dyDescent="0.2">
      <c r="A782" t="s">
        <v>52</v>
      </c>
      <c r="B782" t="s">
        <v>169</v>
      </c>
      <c r="H782">
        <v>0</v>
      </c>
      <c r="I782">
        <v>0</v>
      </c>
      <c r="J782">
        <v>0</v>
      </c>
      <c r="K782">
        <v>1124</v>
      </c>
      <c r="L782">
        <v>1190</v>
      </c>
      <c r="M782">
        <v>2314</v>
      </c>
      <c r="N782" s="2">
        <v>1.011437814364183E-4</v>
      </c>
    </row>
    <row r="783" spans="1:14" hidden="1" x14ac:dyDescent="0.2">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
      <c r="A801" t="s">
        <v>52</v>
      </c>
      <c r="B801" t="s">
        <v>214</v>
      </c>
      <c r="D801">
        <v>0</v>
      </c>
      <c r="E801">
        <v>0</v>
      </c>
      <c r="F801">
        <v>0</v>
      </c>
      <c r="G801">
        <v>0</v>
      </c>
      <c r="H801">
        <v>3900</v>
      </c>
      <c r="I801">
        <v>0</v>
      </c>
      <c r="J801">
        <v>0</v>
      </c>
      <c r="K801">
        <v>0</v>
      </c>
      <c r="L801">
        <v>0</v>
      </c>
      <c r="M801">
        <v>3900</v>
      </c>
      <c r="N801" s="2">
        <v>1.7046704736474989E-4</v>
      </c>
    </row>
    <row r="802" spans="1:14" hidden="1" x14ac:dyDescent="0.2">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
      <c r="A887" t="s">
        <v>31</v>
      </c>
      <c r="B887" t="s">
        <v>196</v>
      </c>
      <c r="C887">
        <v>1000</v>
      </c>
      <c r="D887">
        <v>778</v>
      </c>
      <c r="H887">
        <v>6360</v>
      </c>
      <c r="I887">
        <v>6172</v>
      </c>
      <c r="J887">
        <v>69</v>
      </c>
      <c r="K887">
        <v>62</v>
      </c>
      <c r="L887">
        <v>60</v>
      </c>
      <c r="M887">
        <v>12723</v>
      </c>
      <c r="N887" s="2">
        <v>8.2111499066212875E-7</v>
      </c>
    </row>
    <row r="888" spans="1:14" hidden="1" x14ac:dyDescent="0.2">
      <c r="A888" t="s">
        <v>31</v>
      </c>
      <c r="B888" t="s">
        <v>94</v>
      </c>
      <c r="G888">
        <v>0</v>
      </c>
      <c r="H888">
        <v>0</v>
      </c>
      <c r="I888">
        <v>0</v>
      </c>
      <c r="J888">
        <v>0</v>
      </c>
      <c r="K888">
        <v>644245</v>
      </c>
      <c r="L888">
        <v>1752558</v>
      </c>
      <c r="M888">
        <v>2396803</v>
      </c>
      <c r="N888" s="2">
        <v>1.546844983859123E-4</v>
      </c>
    </row>
    <row r="889" spans="1:14" hidden="1" x14ac:dyDescent="0.2">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
      <c r="A903" t="s">
        <v>31</v>
      </c>
      <c r="B903" t="s">
        <v>175</v>
      </c>
      <c r="E903">
        <v>0</v>
      </c>
      <c r="F903">
        <v>4000</v>
      </c>
      <c r="G903">
        <v>8478</v>
      </c>
      <c r="H903">
        <v>2450</v>
      </c>
      <c r="I903">
        <v>3824</v>
      </c>
      <c r="J903">
        <v>15646</v>
      </c>
      <c r="K903">
        <v>66164</v>
      </c>
      <c r="L903">
        <v>75718</v>
      </c>
      <c r="M903">
        <v>163802</v>
      </c>
      <c r="N903" s="2">
        <v>1.0571427941557651E-5</v>
      </c>
    </row>
    <row r="904" spans="1:14" hidden="1" x14ac:dyDescent="0.2">
      <c r="A904" t="s">
        <v>31</v>
      </c>
      <c r="B904" t="s">
        <v>214</v>
      </c>
      <c r="D904">
        <v>0</v>
      </c>
      <c r="E904">
        <v>0</v>
      </c>
      <c r="F904">
        <v>0</v>
      </c>
      <c r="G904">
        <v>0</v>
      </c>
      <c r="H904">
        <v>772</v>
      </c>
      <c r="I904">
        <v>396</v>
      </c>
      <c r="J904">
        <v>267</v>
      </c>
      <c r="K904">
        <v>0</v>
      </c>
      <c r="L904">
        <v>0</v>
      </c>
      <c r="M904">
        <v>1435</v>
      </c>
      <c r="N904" s="2">
        <v>9.2611806303556921E-8</v>
      </c>
    </row>
    <row r="905" spans="1:14" hidden="1" x14ac:dyDescent="0.2">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
      <c r="A914" t="s">
        <v>31</v>
      </c>
      <c r="B914" t="s">
        <v>121</v>
      </c>
      <c r="H914">
        <v>0</v>
      </c>
      <c r="I914">
        <v>0</v>
      </c>
      <c r="J914">
        <v>0</v>
      </c>
      <c r="K914">
        <v>20000</v>
      </c>
      <c r="L914">
        <v>50000</v>
      </c>
      <c r="M914">
        <v>70000</v>
      </c>
      <c r="N914" s="2">
        <v>4.5176490879783862E-6</v>
      </c>
    </row>
    <row r="915" spans="1:14" hidden="1" x14ac:dyDescent="0.2">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
      <c r="A925" t="s">
        <v>30</v>
      </c>
      <c r="B925" t="s">
        <v>85</v>
      </c>
      <c r="C925">
        <v>5</v>
      </c>
      <c r="D925">
        <v>5</v>
      </c>
      <c r="E925">
        <v>5</v>
      </c>
      <c r="F925">
        <v>5</v>
      </c>
      <c r="G925">
        <v>5</v>
      </c>
      <c r="H925">
        <v>5</v>
      </c>
      <c r="I925">
        <v>5</v>
      </c>
      <c r="J925">
        <v>5</v>
      </c>
      <c r="K925">
        <v>5</v>
      </c>
      <c r="L925">
        <v>5</v>
      </c>
      <c r="M925">
        <v>25</v>
      </c>
      <c r="N925" s="2">
        <v>6.1485489424495821E-3</v>
      </c>
    </row>
    <row r="926" spans="1:14" hidden="1" x14ac:dyDescent="0.2">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
      <c r="A929" t="s">
        <v>30</v>
      </c>
      <c r="B929" t="s">
        <v>182</v>
      </c>
      <c r="C929">
        <v>5</v>
      </c>
      <c r="D929">
        <v>5</v>
      </c>
      <c r="E929">
        <v>5</v>
      </c>
      <c r="F929">
        <v>5</v>
      </c>
      <c r="G929">
        <v>5</v>
      </c>
      <c r="H929">
        <v>5</v>
      </c>
      <c r="I929">
        <v>5</v>
      </c>
      <c r="J929">
        <v>5</v>
      </c>
      <c r="K929">
        <v>5</v>
      </c>
      <c r="L929">
        <v>5</v>
      </c>
      <c r="M929">
        <v>25</v>
      </c>
      <c r="N929" s="2">
        <v>6.1485489424495821E-3</v>
      </c>
    </row>
    <row r="930" spans="1:14" hidden="1" x14ac:dyDescent="0.2">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
      <c r="A933" t="s">
        <v>30</v>
      </c>
      <c r="B933" t="s">
        <v>107</v>
      </c>
      <c r="C933">
        <v>7</v>
      </c>
      <c r="D933">
        <v>7</v>
      </c>
      <c r="E933">
        <v>7</v>
      </c>
      <c r="F933">
        <v>7</v>
      </c>
      <c r="G933">
        <v>7</v>
      </c>
      <c r="H933">
        <v>7</v>
      </c>
      <c r="I933">
        <v>7</v>
      </c>
      <c r="J933">
        <v>7</v>
      </c>
      <c r="K933">
        <v>7</v>
      </c>
      <c r="L933">
        <v>7</v>
      </c>
      <c r="M933">
        <v>35</v>
      </c>
      <c r="N933" s="2">
        <v>8.607968519429415E-3</v>
      </c>
    </row>
    <row r="934" spans="1:14" hidden="1" x14ac:dyDescent="0.2">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
      <c r="A938" t="s">
        <v>74</v>
      </c>
      <c r="B938" t="s">
        <v>236</v>
      </c>
      <c r="H938">
        <v>3975</v>
      </c>
      <c r="I938">
        <v>1077</v>
      </c>
      <c r="J938">
        <v>9325</v>
      </c>
      <c r="K938">
        <v>6454</v>
      </c>
      <c r="L938">
        <v>14126</v>
      </c>
      <c r="M938">
        <v>34957</v>
      </c>
      <c r="N938" s="2">
        <v>5.6490662735165186E-4</v>
      </c>
    </row>
    <row r="939" spans="1:14" hidden="1" x14ac:dyDescent="0.2">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
      <c r="A950" t="s">
        <v>74</v>
      </c>
      <c r="B950" t="s">
        <v>215</v>
      </c>
      <c r="F950">
        <v>0</v>
      </c>
      <c r="G950">
        <v>0</v>
      </c>
      <c r="H950">
        <v>8</v>
      </c>
      <c r="I950">
        <v>41</v>
      </c>
      <c r="J950">
        <v>5095</v>
      </c>
      <c r="K950">
        <v>153</v>
      </c>
      <c r="L950">
        <v>66</v>
      </c>
      <c r="M950">
        <v>5363</v>
      </c>
      <c r="N950" s="2">
        <v>8.6666311253451642E-5</v>
      </c>
    </row>
    <row r="951" spans="1:14" hidden="1" x14ac:dyDescent="0.2">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
      <c r="A965" t="s">
        <v>29</v>
      </c>
      <c r="B965" t="s">
        <v>175</v>
      </c>
      <c r="D965">
        <v>0</v>
      </c>
      <c r="E965">
        <v>0</v>
      </c>
      <c r="F965">
        <v>0</v>
      </c>
      <c r="G965">
        <v>0</v>
      </c>
      <c r="H965">
        <v>2216</v>
      </c>
      <c r="I965">
        <v>3456</v>
      </c>
      <c r="J965">
        <v>0</v>
      </c>
      <c r="K965">
        <v>0</v>
      </c>
      <c r="L965">
        <v>0</v>
      </c>
      <c r="M965">
        <v>5672</v>
      </c>
      <c r="N965" s="2">
        <v>1.0080077256896781E-3</v>
      </c>
    </row>
    <row r="966" spans="1:14" hidden="1" x14ac:dyDescent="0.2">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
      <c r="A972" t="s">
        <v>29</v>
      </c>
      <c r="B972" t="s">
        <v>158</v>
      </c>
      <c r="C972">
        <v>7022</v>
      </c>
      <c r="D972">
        <v>6934</v>
      </c>
      <c r="E972">
        <v>6853</v>
      </c>
      <c r="F972">
        <v>6362</v>
      </c>
      <c r="G972">
        <v>5622</v>
      </c>
      <c r="H972">
        <v>1577</v>
      </c>
      <c r="I972">
        <v>174</v>
      </c>
      <c r="J972">
        <v>150</v>
      </c>
      <c r="K972">
        <v>300</v>
      </c>
      <c r="L972">
        <v>200</v>
      </c>
      <c r="M972">
        <v>2401</v>
      </c>
      <c r="N972" s="2">
        <v>4.2669720546207972E-4</v>
      </c>
    </row>
    <row r="973" spans="1:14" x14ac:dyDescent="0.2">
      <c r="A973" t="s">
        <v>28</v>
      </c>
      <c r="B973" t="s">
        <v>183</v>
      </c>
      <c r="C973">
        <v>264</v>
      </c>
      <c r="D973">
        <v>140</v>
      </c>
      <c r="E973">
        <v>85</v>
      </c>
      <c r="F973">
        <v>106</v>
      </c>
      <c r="G973">
        <v>102</v>
      </c>
      <c r="H973">
        <v>137</v>
      </c>
      <c r="I973">
        <v>286</v>
      </c>
      <c r="J973">
        <v>70</v>
      </c>
      <c r="K973">
        <v>58</v>
      </c>
      <c r="L973">
        <v>71</v>
      </c>
      <c r="M973">
        <v>622</v>
      </c>
      <c r="N973" s="4">
        <v>3.7512926731404008E-5</v>
      </c>
    </row>
    <row r="974" spans="1:14" x14ac:dyDescent="0.2">
      <c r="A974" t="s">
        <v>28</v>
      </c>
      <c r="B974" t="s">
        <v>184</v>
      </c>
      <c r="H974">
        <v>0</v>
      </c>
      <c r="I974">
        <v>0</v>
      </c>
      <c r="J974">
        <v>23</v>
      </c>
      <c r="K974">
        <v>59</v>
      </c>
      <c r="L974">
        <v>35</v>
      </c>
      <c r="M974">
        <v>117</v>
      </c>
      <c r="N974" s="4">
        <v>7.0562900764859628E-6</v>
      </c>
    </row>
    <row r="975" spans="1:14" x14ac:dyDescent="0.2">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x14ac:dyDescent="0.2">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x14ac:dyDescent="0.2">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x14ac:dyDescent="0.2">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x14ac:dyDescent="0.2">
      <c r="A979" t="s">
        <v>28</v>
      </c>
      <c r="B979" t="s">
        <v>185</v>
      </c>
      <c r="D979">
        <v>30</v>
      </c>
      <c r="E979">
        <v>30</v>
      </c>
      <c r="F979">
        <v>6</v>
      </c>
      <c r="G979">
        <v>7</v>
      </c>
      <c r="H979">
        <v>5</v>
      </c>
      <c r="I979">
        <v>5</v>
      </c>
      <c r="J979">
        <v>5</v>
      </c>
      <c r="K979">
        <v>5</v>
      </c>
      <c r="L979">
        <v>5</v>
      </c>
      <c r="M979">
        <v>25</v>
      </c>
      <c r="N979" s="4">
        <v>1.507754289847428E-6</v>
      </c>
    </row>
    <row r="980" spans="1:14" x14ac:dyDescent="0.2">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x14ac:dyDescent="0.2">
      <c r="A981" t="s">
        <v>28</v>
      </c>
      <c r="B981" t="s">
        <v>165</v>
      </c>
      <c r="C981">
        <v>1522</v>
      </c>
      <c r="D981">
        <v>1206</v>
      </c>
      <c r="E981">
        <v>958</v>
      </c>
      <c r="F981">
        <v>757</v>
      </c>
      <c r="G981">
        <v>833</v>
      </c>
      <c r="H981">
        <v>913</v>
      </c>
      <c r="I981">
        <v>1105</v>
      </c>
      <c r="J981">
        <v>942</v>
      </c>
      <c r="K981">
        <v>851</v>
      </c>
      <c r="L981">
        <v>650</v>
      </c>
      <c r="M981">
        <v>4461</v>
      </c>
      <c r="N981" s="4">
        <v>2.6904367548037498E-4</v>
      </c>
    </row>
    <row r="982" spans="1:14" x14ac:dyDescent="0.2">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x14ac:dyDescent="0.2">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x14ac:dyDescent="0.2">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x14ac:dyDescent="0.2">
      <c r="A985" t="s">
        <v>28</v>
      </c>
      <c r="B985" t="s">
        <v>187</v>
      </c>
      <c r="C985">
        <v>2147</v>
      </c>
      <c r="D985">
        <v>2823</v>
      </c>
      <c r="E985">
        <v>650</v>
      </c>
      <c r="F985">
        <v>549</v>
      </c>
      <c r="G985">
        <v>396</v>
      </c>
      <c r="H985">
        <v>1742</v>
      </c>
      <c r="I985">
        <v>1898</v>
      </c>
      <c r="J985">
        <v>1599</v>
      </c>
      <c r="K985">
        <v>863</v>
      </c>
      <c r="L985">
        <v>847</v>
      </c>
      <c r="M985">
        <v>6949</v>
      </c>
      <c r="N985" s="4">
        <v>4.1909538240599112E-4</v>
      </c>
    </row>
    <row r="986" spans="1:14" x14ac:dyDescent="0.2">
      <c r="A986" t="s">
        <v>28</v>
      </c>
      <c r="B986" t="s">
        <v>127</v>
      </c>
      <c r="C986">
        <v>1000</v>
      </c>
      <c r="D986">
        <v>1000</v>
      </c>
      <c r="E986">
        <v>1000</v>
      </c>
      <c r="F986">
        <v>795</v>
      </c>
      <c r="G986">
        <v>542</v>
      </c>
      <c r="H986">
        <v>713</v>
      </c>
      <c r="I986">
        <v>478</v>
      </c>
      <c r="J986">
        <v>341</v>
      </c>
      <c r="K986">
        <v>450</v>
      </c>
      <c r="L986">
        <v>450</v>
      </c>
      <c r="M986">
        <v>2432</v>
      </c>
      <c r="N986" s="4">
        <v>1.466743373163578E-4</v>
      </c>
    </row>
    <row r="987" spans="1:14" x14ac:dyDescent="0.2">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x14ac:dyDescent="0.2">
      <c r="A988" t="s">
        <v>28</v>
      </c>
      <c r="B988" t="s">
        <v>188</v>
      </c>
      <c r="D988">
        <v>55</v>
      </c>
      <c r="E988">
        <v>7</v>
      </c>
      <c r="F988">
        <v>15</v>
      </c>
      <c r="G988">
        <v>33</v>
      </c>
      <c r="H988">
        <v>118</v>
      </c>
      <c r="I988">
        <v>142</v>
      </c>
      <c r="J988">
        <v>359</v>
      </c>
      <c r="K988">
        <v>401</v>
      </c>
      <c r="L988">
        <v>858</v>
      </c>
      <c r="M988">
        <v>1878</v>
      </c>
      <c r="N988" s="4">
        <v>1.132625022533388E-4</v>
      </c>
    </row>
    <row r="989" spans="1:14" x14ac:dyDescent="0.2">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x14ac:dyDescent="0.2">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x14ac:dyDescent="0.2">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x14ac:dyDescent="0.2">
      <c r="A992" t="s">
        <v>28</v>
      </c>
      <c r="B992" t="s">
        <v>189</v>
      </c>
      <c r="C992">
        <v>150</v>
      </c>
      <c r="D992">
        <v>150</v>
      </c>
      <c r="E992">
        <v>150</v>
      </c>
      <c r="F992">
        <v>150</v>
      </c>
      <c r="G992">
        <v>150</v>
      </c>
      <c r="H992">
        <v>150</v>
      </c>
      <c r="I992">
        <v>150</v>
      </c>
      <c r="J992">
        <v>150</v>
      </c>
      <c r="K992">
        <v>150</v>
      </c>
      <c r="L992">
        <v>150</v>
      </c>
      <c r="M992">
        <v>750</v>
      </c>
      <c r="N992" s="4">
        <v>4.523262869542284E-5</v>
      </c>
    </row>
    <row r="993" spans="1:14" x14ac:dyDescent="0.2">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x14ac:dyDescent="0.2">
      <c r="A994" t="s">
        <v>28</v>
      </c>
      <c r="B994" t="s">
        <v>190</v>
      </c>
      <c r="C994">
        <v>0</v>
      </c>
      <c r="D994">
        <v>1500</v>
      </c>
      <c r="E994">
        <v>1350</v>
      </c>
      <c r="F994">
        <v>950</v>
      </c>
      <c r="G994">
        <v>750</v>
      </c>
      <c r="H994">
        <v>4255</v>
      </c>
      <c r="I994">
        <v>3699</v>
      </c>
      <c r="J994">
        <v>4500</v>
      </c>
      <c r="K994">
        <v>599</v>
      </c>
      <c r="L994">
        <v>600</v>
      </c>
      <c r="M994">
        <v>13653</v>
      </c>
      <c r="N994" s="4">
        <v>8.234147727714773E-4</v>
      </c>
    </row>
    <row r="995" spans="1:14" x14ac:dyDescent="0.2">
      <c r="A995" t="s">
        <v>28</v>
      </c>
      <c r="B995" t="s">
        <v>166</v>
      </c>
      <c r="D995">
        <v>0</v>
      </c>
      <c r="E995">
        <v>0</v>
      </c>
      <c r="F995">
        <v>0</v>
      </c>
      <c r="G995">
        <v>0</v>
      </c>
      <c r="H995">
        <v>48</v>
      </c>
      <c r="I995">
        <v>47</v>
      </c>
      <c r="J995">
        <v>33</v>
      </c>
      <c r="K995">
        <v>61</v>
      </c>
      <c r="L995">
        <v>0</v>
      </c>
      <c r="M995">
        <v>189</v>
      </c>
      <c r="N995" s="4">
        <v>1.139862243124656E-5</v>
      </c>
    </row>
    <row r="996" spans="1:14" x14ac:dyDescent="0.2">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x14ac:dyDescent="0.2">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x14ac:dyDescent="0.2">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x14ac:dyDescent="0.2">
      <c r="A999" t="s">
        <v>28</v>
      </c>
      <c r="B999" t="s">
        <v>191</v>
      </c>
      <c r="C999">
        <v>200</v>
      </c>
      <c r="D999">
        <v>200</v>
      </c>
      <c r="E999">
        <v>200</v>
      </c>
      <c r="F999">
        <v>200</v>
      </c>
      <c r="G999">
        <v>200</v>
      </c>
      <c r="H999">
        <v>200</v>
      </c>
      <c r="I999">
        <v>200</v>
      </c>
      <c r="J999">
        <v>200</v>
      </c>
      <c r="K999">
        <v>200</v>
      </c>
      <c r="L999">
        <v>200</v>
      </c>
      <c r="M999">
        <v>1000</v>
      </c>
      <c r="N999" s="4">
        <v>6.0310171593897122E-5</v>
      </c>
    </row>
    <row r="1000" spans="1:14" x14ac:dyDescent="0.2">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x14ac:dyDescent="0.2">
      <c r="A1001" t="s">
        <v>28</v>
      </c>
      <c r="B1001" t="s">
        <v>192</v>
      </c>
      <c r="E1001">
        <v>0</v>
      </c>
      <c r="F1001">
        <v>0</v>
      </c>
      <c r="G1001">
        <v>0</v>
      </c>
      <c r="H1001">
        <v>0</v>
      </c>
      <c r="I1001">
        <v>12</v>
      </c>
      <c r="J1001">
        <v>6</v>
      </c>
      <c r="K1001">
        <v>1</v>
      </c>
      <c r="L1001">
        <v>0</v>
      </c>
      <c r="M1001">
        <v>19</v>
      </c>
      <c r="N1001" s="4">
        <v>1.1458932602840449E-6</v>
      </c>
    </row>
    <row r="1002" spans="1:14" x14ac:dyDescent="0.2">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x14ac:dyDescent="0.2">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x14ac:dyDescent="0.2">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x14ac:dyDescent="0.2">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x14ac:dyDescent="0.2">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x14ac:dyDescent="0.2">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x14ac:dyDescent="0.2">
      <c r="A1008" t="s">
        <v>28</v>
      </c>
      <c r="B1008" t="s">
        <v>117</v>
      </c>
      <c r="F1008">
        <v>0</v>
      </c>
      <c r="G1008">
        <v>0</v>
      </c>
      <c r="H1008">
        <v>0</v>
      </c>
      <c r="I1008">
        <v>0</v>
      </c>
      <c r="J1008">
        <v>10</v>
      </c>
      <c r="K1008">
        <v>10</v>
      </c>
      <c r="L1008">
        <v>12</v>
      </c>
      <c r="M1008">
        <v>32</v>
      </c>
      <c r="N1008" s="4">
        <v>1.929925491004708E-6</v>
      </c>
    </row>
    <row r="1009" spans="1:14" x14ac:dyDescent="0.2">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x14ac:dyDescent="0.2">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x14ac:dyDescent="0.2">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x14ac:dyDescent="0.2">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x14ac:dyDescent="0.2">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x14ac:dyDescent="0.2">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x14ac:dyDescent="0.2">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x14ac:dyDescent="0.2">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x14ac:dyDescent="0.2">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x14ac:dyDescent="0.2">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x14ac:dyDescent="0.2">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x14ac:dyDescent="0.2">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x14ac:dyDescent="0.2">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x14ac:dyDescent="0.2">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x14ac:dyDescent="0.2">
      <c r="A1023" t="s">
        <v>28</v>
      </c>
      <c r="B1023" t="s">
        <v>149</v>
      </c>
      <c r="E1023">
        <v>10000</v>
      </c>
      <c r="F1023">
        <v>10000</v>
      </c>
      <c r="G1023">
        <v>10000</v>
      </c>
      <c r="H1023">
        <v>10000</v>
      </c>
      <c r="I1023">
        <v>10000</v>
      </c>
      <c r="J1023">
        <v>10000</v>
      </c>
      <c r="K1023">
        <v>10000</v>
      </c>
      <c r="L1023">
        <v>10000</v>
      </c>
      <c r="M1023">
        <v>50000</v>
      </c>
      <c r="N1023" s="4">
        <v>3.015508579694856E-3</v>
      </c>
    </row>
    <row r="1024" spans="1:14" x14ac:dyDescent="0.2">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x14ac:dyDescent="0.2">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x14ac:dyDescent="0.2">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x14ac:dyDescent="0.2">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x14ac:dyDescent="0.2">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x14ac:dyDescent="0.2">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x14ac:dyDescent="0.2">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x14ac:dyDescent="0.2">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x14ac:dyDescent="0.2">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x14ac:dyDescent="0.2">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x14ac:dyDescent="0.2">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x14ac:dyDescent="0.2">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x14ac:dyDescent="0.2">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x14ac:dyDescent="0.2">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x14ac:dyDescent="0.2">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x14ac:dyDescent="0.2">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x14ac:dyDescent="0.2">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x14ac:dyDescent="0.2">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x14ac:dyDescent="0.2">
      <c r="A1042" t="s">
        <v>28</v>
      </c>
      <c r="B1042" t="s">
        <v>133</v>
      </c>
      <c r="H1042">
        <v>3</v>
      </c>
      <c r="I1042">
        <v>0</v>
      </c>
      <c r="J1042">
        <v>0</v>
      </c>
      <c r="K1042">
        <v>0</v>
      </c>
      <c r="L1042">
        <v>0</v>
      </c>
      <c r="M1042">
        <v>3</v>
      </c>
      <c r="N1042" s="4">
        <v>1.809305147816913E-7</v>
      </c>
    </row>
    <row r="1043" spans="1:14" x14ac:dyDescent="0.2">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x14ac:dyDescent="0.2">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x14ac:dyDescent="0.2">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x14ac:dyDescent="0.2">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x14ac:dyDescent="0.2">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x14ac:dyDescent="0.2">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x14ac:dyDescent="0.2">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x14ac:dyDescent="0.2">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x14ac:dyDescent="0.2">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x14ac:dyDescent="0.2">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x14ac:dyDescent="0.2">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x14ac:dyDescent="0.2">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x14ac:dyDescent="0.2">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x14ac:dyDescent="0.2">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x14ac:dyDescent="0.2">
      <c r="A1057" t="s">
        <v>28</v>
      </c>
      <c r="B1057" t="s">
        <v>206</v>
      </c>
      <c r="D1057">
        <v>200</v>
      </c>
      <c r="E1057">
        <v>200</v>
      </c>
      <c r="F1057">
        <v>200</v>
      </c>
      <c r="G1057">
        <v>200</v>
      </c>
      <c r="H1057">
        <v>200</v>
      </c>
      <c r="I1057">
        <v>200</v>
      </c>
      <c r="J1057">
        <v>200</v>
      </c>
      <c r="K1057">
        <v>200</v>
      </c>
      <c r="L1057">
        <v>200</v>
      </c>
      <c r="M1057">
        <v>1000</v>
      </c>
      <c r="N1057" s="4">
        <v>6.0310171593897122E-5</v>
      </c>
    </row>
    <row r="1058" spans="1:14" x14ac:dyDescent="0.2">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x14ac:dyDescent="0.2">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x14ac:dyDescent="0.2">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x14ac:dyDescent="0.2">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x14ac:dyDescent="0.2">
      <c r="A1062" t="s">
        <v>28</v>
      </c>
      <c r="B1062" t="s">
        <v>208</v>
      </c>
      <c r="D1062">
        <v>4</v>
      </c>
      <c r="E1062">
        <v>5</v>
      </c>
      <c r="F1062">
        <v>2</v>
      </c>
      <c r="G1062">
        <v>0</v>
      </c>
      <c r="H1062">
        <v>4</v>
      </c>
      <c r="I1062">
        <v>4</v>
      </c>
      <c r="J1062">
        <v>6</v>
      </c>
      <c r="K1062">
        <v>3</v>
      </c>
      <c r="L1062">
        <v>1</v>
      </c>
      <c r="M1062">
        <v>18</v>
      </c>
      <c r="N1062" s="4">
        <v>1.0855830886901479E-6</v>
      </c>
    </row>
    <row r="1063" spans="1:14" x14ac:dyDescent="0.2">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x14ac:dyDescent="0.2">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x14ac:dyDescent="0.2">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x14ac:dyDescent="0.2">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x14ac:dyDescent="0.2">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x14ac:dyDescent="0.2">
      <c r="A1068" t="s">
        <v>28</v>
      </c>
      <c r="B1068" t="s">
        <v>142</v>
      </c>
      <c r="D1068">
        <v>5</v>
      </c>
      <c r="E1068">
        <v>24</v>
      </c>
      <c r="F1068">
        <v>13</v>
      </c>
      <c r="G1068">
        <v>11</v>
      </c>
      <c r="H1068">
        <v>4</v>
      </c>
      <c r="I1068">
        <v>12</v>
      </c>
      <c r="J1068">
        <v>10</v>
      </c>
      <c r="K1068">
        <v>7</v>
      </c>
      <c r="L1068">
        <v>7</v>
      </c>
      <c r="M1068">
        <v>40</v>
      </c>
      <c r="N1068" s="4">
        <v>2.412406863755885E-6</v>
      </c>
    </row>
    <row r="1069" spans="1:14" x14ac:dyDescent="0.2">
      <c r="A1069" t="s">
        <v>28</v>
      </c>
      <c r="B1069" t="s">
        <v>140</v>
      </c>
      <c r="C1069">
        <v>102</v>
      </c>
      <c r="D1069">
        <v>42</v>
      </c>
      <c r="E1069">
        <v>0</v>
      </c>
      <c r="F1069">
        <v>0</v>
      </c>
      <c r="G1069">
        <v>6</v>
      </c>
      <c r="H1069">
        <v>0</v>
      </c>
      <c r="I1069">
        <v>0</v>
      </c>
      <c r="J1069">
        <v>50</v>
      </c>
      <c r="K1069">
        <v>28</v>
      </c>
      <c r="L1069">
        <v>79</v>
      </c>
      <c r="M1069">
        <v>157</v>
      </c>
      <c r="N1069" s="4">
        <v>9.4686969402418474E-6</v>
      </c>
    </row>
    <row r="1070" spans="1:14" x14ac:dyDescent="0.2">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x14ac:dyDescent="0.2">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x14ac:dyDescent="0.2">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x14ac:dyDescent="0.2">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x14ac:dyDescent="0.2">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x14ac:dyDescent="0.2">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
      <c r="A1083" t="s">
        <v>26</v>
      </c>
      <c r="B1083" t="s">
        <v>122</v>
      </c>
      <c r="D1083">
        <v>13</v>
      </c>
      <c r="E1083">
        <v>13</v>
      </c>
      <c r="F1083">
        <v>9</v>
      </c>
      <c r="G1083">
        <v>9</v>
      </c>
      <c r="H1083">
        <v>4</v>
      </c>
      <c r="I1083">
        <v>4</v>
      </c>
      <c r="J1083">
        <v>8</v>
      </c>
      <c r="K1083">
        <v>4</v>
      </c>
      <c r="L1083">
        <v>4</v>
      </c>
      <c r="M1083">
        <v>24</v>
      </c>
      <c r="N1083" s="2">
        <v>1.2651555086979439E-2</v>
      </c>
    </row>
    <row r="1084" spans="1:14" hidden="1" x14ac:dyDescent="0.2">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
      <c r="A1111" t="s">
        <v>35</v>
      </c>
      <c r="B1111" t="s">
        <v>195</v>
      </c>
      <c r="H1111">
        <v>21300</v>
      </c>
      <c r="I1111">
        <v>42900</v>
      </c>
      <c r="J1111">
        <v>43000</v>
      </c>
      <c r="K1111">
        <v>37000</v>
      </c>
      <c r="L1111">
        <v>22000</v>
      </c>
      <c r="M1111">
        <v>166200</v>
      </c>
      <c r="N1111" s="2">
        <v>1.247717491535303E-2</v>
      </c>
    </row>
    <row r="1112" spans="1:14" hidden="1" x14ac:dyDescent="0.2">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
      <c r="A1189" t="s">
        <v>24</v>
      </c>
      <c r="B1189" t="s">
        <v>159</v>
      </c>
      <c r="F1189">
        <v>0</v>
      </c>
      <c r="G1189">
        <v>0</v>
      </c>
      <c r="H1189">
        <v>0</v>
      </c>
      <c r="I1189">
        <v>0</v>
      </c>
      <c r="J1189">
        <v>2000</v>
      </c>
      <c r="K1189">
        <v>107800</v>
      </c>
      <c r="L1189">
        <v>170000</v>
      </c>
      <c r="M1189">
        <v>279800</v>
      </c>
      <c r="N1189" s="2">
        <v>3.2801138187772052E-3</v>
      </c>
    </row>
    <row r="1190" spans="1:14" hidden="1" x14ac:dyDescent="0.2">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
      <c r="A1297" t="s">
        <v>23</v>
      </c>
      <c r="B1297" t="s">
        <v>177</v>
      </c>
      <c r="F1297">
        <v>0</v>
      </c>
      <c r="G1297">
        <v>0</v>
      </c>
      <c r="H1297">
        <v>0</v>
      </c>
      <c r="I1297">
        <v>0</v>
      </c>
      <c r="J1297">
        <v>147480</v>
      </c>
      <c r="K1297">
        <v>205548</v>
      </c>
      <c r="L1297">
        <v>331000</v>
      </c>
      <c r="M1297">
        <v>684028</v>
      </c>
      <c r="N1297" s="2">
        <v>6.5726960148271649E-3</v>
      </c>
    </row>
    <row r="1298" spans="1:14" hidden="1" x14ac:dyDescent="0.2">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
      <c r="A1351" t="s">
        <v>21</v>
      </c>
      <c r="B1351" t="s">
        <v>112</v>
      </c>
      <c r="H1351">
        <v>220</v>
      </c>
      <c r="I1351">
        <v>259</v>
      </c>
      <c r="J1351">
        <v>115</v>
      </c>
      <c r="K1351">
        <v>250</v>
      </c>
      <c r="L1351">
        <v>200</v>
      </c>
      <c r="M1351">
        <v>1044</v>
      </c>
      <c r="N1351" s="2">
        <v>1.570831878859372E-3</v>
      </c>
    </row>
    <row r="1352" spans="1:14" hidden="1" x14ac:dyDescent="0.2">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
      <c r="A1406" t="s">
        <v>17</v>
      </c>
      <c r="B1406" t="s">
        <v>142</v>
      </c>
      <c r="G1406">
        <v>14</v>
      </c>
      <c r="H1406">
        <v>0</v>
      </c>
      <c r="I1406">
        <v>24</v>
      </c>
      <c r="J1406">
        <v>15</v>
      </c>
      <c r="K1406">
        <v>186</v>
      </c>
      <c r="L1406">
        <v>180</v>
      </c>
      <c r="M1406">
        <v>405</v>
      </c>
      <c r="N1406" s="2">
        <v>1.372648703609558E-2</v>
      </c>
    </row>
    <row r="1407" spans="1:14" hidden="1" x14ac:dyDescent="0.2">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
      <c r="A1425" t="s">
        <v>14</v>
      </c>
      <c r="B1425" t="s">
        <v>100</v>
      </c>
      <c r="G1425">
        <v>0</v>
      </c>
      <c r="H1425">
        <v>0</v>
      </c>
      <c r="I1425">
        <v>0</v>
      </c>
      <c r="J1425">
        <v>0</v>
      </c>
      <c r="K1425">
        <v>272295</v>
      </c>
      <c r="L1425">
        <v>300000</v>
      </c>
      <c r="M1425">
        <v>572295</v>
      </c>
      <c r="N1425" s="2">
        <v>3.4168057983874123E-4</v>
      </c>
    </row>
    <row r="1426" spans="1:14" hidden="1" x14ac:dyDescent="0.2">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
      <c r="A1505" t="s">
        <v>15</v>
      </c>
      <c r="B1505" t="s">
        <v>123</v>
      </c>
      <c r="F1505">
        <v>0</v>
      </c>
      <c r="G1505">
        <v>0</v>
      </c>
      <c r="H1505">
        <v>0</v>
      </c>
      <c r="I1505">
        <v>0</v>
      </c>
      <c r="J1505">
        <v>1100000</v>
      </c>
      <c r="K1505">
        <v>1920000</v>
      </c>
      <c r="L1505">
        <v>2300000</v>
      </c>
      <c r="M1505">
        <v>5320000</v>
      </c>
      <c r="N1505" s="2">
        <v>7.9930212030407694E-3</v>
      </c>
    </row>
    <row r="1506" spans="1:14" hidden="1" x14ac:dyDescent="0.2">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2"/>
  <sheetViews>
    <sheetView workbookViewId="0">
      <selection activeCell="I14" sqref="I14"/>
    </sheetView>
  </sheetViews>
  <sheetFormatPr baseColWidth="10" defaultColWidth="8.83203125" defaultRowHeight="15" x14ac:dyDescent="0.2"/>
  <cols>
    <col min="1" max="1" width="12" bestFit="1" customWidth="1"/>
    <col min="2" max="2" width="8.6640625" bestFit="1" customWidth="1"/>
    <col min="3" max="3" width="15.5" bestFit="1" customWidth="1"/>
    <col min="4" max="4" width="81" bestFit="1" customWidth="1"/>
  </cols>
  <sheetData>
    <row r="1" spans="1:5" x14ac:dyDescent="0.2">
      <c r="A1" s="15">
        <v>1.8275869705935501E-10</v>
      </c>
      <c r="B1" s="14" t="s">
        <v>327</v>
      </c>
      <c r="C1" s="14" t="s">
        <v>326</v>
      </c>
      <c r="D1" s="14" t="s">
        <v>324</v>
      </c>
      <c r="E1" s="14" t="s">
        <v>289</v>
      </c>
    </row>
    <row r="2" spans="1:5" x14ac:dyDescent="0.2">
      <c r="A2" s="15">
        <v>1.8275869705935501E-10</v>
      </c>
      <c r="B2" s="14" t="s">
        <v>327</v>
      </c>
      <c r="C2" s="14" t="s">
        <v>326</v>
      </c>
      <c r="D2" s="14" t="s">
        <v>325</v>
      </c>
      <c r="E2" s="14" t="s">
        <v>289</v>
      </c>
    </row>
    <row r="3" spans="1:5" x14ac:dyDescent="0.2">
      <c r="A3" s="12">
        <v>0.60496470841708605</v>
      </c>
      <c r="B3" s="12" t="s">
        <v>327</v>
      </c>
      <c r="C3" s="12" t="s">
        <v>326</v>
      </c>
      <c r="D3" s="12" t="s">
        <v>328</v>
      </c>
      <c r="E3" s="12" t="s">
        <v>242</v>
      </c>
    </row>
    <row r="4" spans="1:5" x14ac:dyDescent="0.2">
      <c r="A4" s="12">
        <v>0.170490173414167</v>
      </c>
      <c r="B4" s="12" t="s">
        <v>327</v>
      </c>
      <c r="C4" s="12" t="s">
        <v>326</v>
      </c>
      <c r="D4" s="12" t="s">
        <v>329</v>
      </c>
      <c r="E4" s="12" t="s">
        <v>242</v>
      </c>
    </row>
    <row r="5" spans="1:5" x14ac:dyDescent="0.2">
      <c r="A5" s="11">
        <v>1.1924090559000299E-2</v>
      </c>
      <c r="B5" s="11" t="s">
        <v>327</v>
      </c>
      <c r="C5" s="11" t="s">
        <v>326</v>
      </c>
      <c r="D5" s="11" t="s">
        <v>330</v>
      </c>
      <c r="E5" s="11" t="s">
        <v>242</v>
      </c>
    </row>
    <row r="6" spans="1:5" x14ac:dyDescent="0.2">
      <c r="A6" s="11">
        <v>2.2004446715719402E-3</v>
      </c>
      <c r="B6" s="11" t="s">
        <v>327</v>
      </c>
      <c r="C6" s="11" t="s">
        <v>326</v>
      </c>
      <c r="D6" s="11" t="s">
        <v>331</v>
      </c>
      <c r="E6" s="11" t="s">
        <v>242</v>
      </c>
    </row>
    <row r="7" spans="1:5" x14ac:dyDescent="0.2">
      <c r="A7" s="12">
        <v>1.2332162617343799E-3</v>
      </c>
      <c r="B7" s="12" t="s">
        <v>327</v>
      </c>
      <c r="C7" s="12" t="s">
        <v>326</v>
      </c>
      <c r="D7" s="12" t="s">
        <v>290</v>
      </c>
      <c r="E7" s="12" t="s">
        <v>242</v>
      </c>
    </row>
    <row r="8" spans="1:5" x14ac:dyDescent="0.2">
      <c r="A8" s="10">
        <v>2.1321735175932098E-6</v>
      </c>
      <c r="B8" s="11" t="s">
        <v>327</v>
      </c>
      <c r="C8" s="11" t="s">
        <v>326</v>
      </c>
      <c r="D8" s="11" t="s">
        <v>332</v>
      </c>
      <c r="E8" s="11" t="s">
        <v>242</v>
      </c>
    </row>
    <row r="9" spans="1:5" x14ac:dyDescent="0.2">
      <c r="A9" s="10">
        <v>9.3283084957379301E-7</v>
      </c>
      <c r="B9" s="11" t="s">
        <v>327</v>
      </c>
      <c r="C9" s="11" t="s">
        <v>326</v>
      </c>
      <c r="D9" s="11" t="s">
        <v>333</v>
      </c>
      <c r="E9" s="11" t="s">
        <v>242</v>
      </c>
    </row>
    <row r="10" spans="1:5" x14ac:dyDescent="0.2">
      <c r="A10" s="11">
        <v>3.4048235915330502E-2</v>
      </c>
      <c r="B10" s="11" t="s">
        <v>327</v>
      </c>
      <c r="C10" s="11" t="s">
        <v>326</v>
      </c>
      <c r="D10" s="11" t="s">
        <v>334</v>
      </c>
      <c r="E10" s="11" t="s">
        <v>335</v>
      </c>
    </row>
    <row r="11" spans="1:5" x14ac:dyDescent="0.2">
      <c r="A11" s="11">
        <v>0.15032405184868</v>
      </c>
      <c r="B11" s="11" t="s">
        <v>327</v>
      </c>
      <c r="C11" s="11" t="s">
        <v>326</v>
      </c>
      <c r="D11" s="11" t="s">
        <v>334</v>
      </c>
      <c r="E11" s="11" t="s">
        <v>256</v>
      </c>
    </row>
    <row r="12" spans="1:5" x14ac:dyDescent="0.2">
      <c r="A12" s="11">
        <v>8.4042108856141899E-4</v>
      </c>
      <c r="B12" s="11" t="s">
        <v>327</v>
      </c>
      <c r="C12" s="11" t="s">
        <v>326</v>
      </c>
      <c r="D12" s="11" t="s">
        <v>336</v>
      </c>
      <c r="E12" s="11" t="s">
        <v>256</v>
      </c>
    </row>
    <row r="13" spans="1:5" x14ac:dyDescent="0.2">
      <c r="A13" s="12">
        <v>2.7482282118931699E-4</v>
      </c>
      <c r="B13" s="12" t="s">
        <v>327</v>
      </c>
      <c r="C13" s="12" t="s">
        <v>326</v>
      </c>
      <c r="D13" s="12" t="s">
        <v>281</v>
      </c>
      <c r="E13" s="12" t="s">
        <v>256</v>
      </c>
    </row>
    <row r="14" spans="1:5" x14ac:dyDescent="0.2">
      <c r="A14" s="13">
        <v>1.4454551494694501E-9</v>
      </c>
      <c r="B14" s="12" t="s">
        <v>327</v>
      </c>
      <c r="C14" s="12" t="s">
        <v>326</v>
      </c>
      <c r="D14" s="12" t="s">
        <v>325</v>
      </c>
      <c r="E14" s="12" t="s">
        <v>256</v>
      </c>
    </row>
    <row r="15" spans="1:5" x14ac:dyDescent="0.2">
      <c r="A15" s="13">
        <v>3.7105553648984102E-10</v>
      </c>
      <c r="B15" s="12" t="s">
        <v>327</v>
      </c>
      <c r="C15" s="12" t="s">
        <v>326</v>
      </c>
      <c r="D15" s="12" t="s">
        <v>324</v>
      </c>
      <c r="E15" s="12" t="s">
        <v>256</v>
      </c>
    </row>
    <row r="16" spans="1:5" x14ac:dyDescent="0.2">
      <c r="A16" s="14">
        <v>1.5703710265840901E-2</v>
      </c>
      <c r="B16" s="14" t="s">
        <v>327</v>
      </c>
      <c r="C16" s="14" t="s">
        <v>326</v>
      </c>
      <c r="D16" s="14" t="s">
        <v>337</v>
      </c>
      <c r="E16" s="14" t="s">
        <v>313</v>
      </c>
    </row>
    <row r="17" spans="1:6" x14ac:dyDescent="0.2">
      <c r="A17" s="14">
        <v>6.8111458857769E-3</v>
      </c>
      <c r="B17" s="14" t="s">
        <v>327</v>
      </c>
      <c r="C17" s="14" t="s">
        <v>326</v>
      </c>
      <c r="D17" s="14" t="s">
        <v>338</v>
      </c>
      <c r="E17" s="14" t="s">
        <v>314</v>
      </c>
    </row>
    <row r="18" spans="1:6" x14ac:dyDescent="0.2">
      <c r="A18" s="10">
        <v>2.2277037972546998E-6</v>
      </c>
      <c r="B18" s="11" t="s">
        <v>327</v>
      </c>
      <c r="C18" s="11" t="s">
        <v>326</v>
      </c>
      <c r="D18" s="11" t="s">
        <v>336</v>
      </c>
      <c r="E18" s="11" t="s">
        <v>314</v>
      </c>
    </row>
    <row r="19" spans="1:6" x14ac:dyDescent="0.2">
      <c r="A19" s="14">
        <v>1.1796839608684999E-3</v>
      </c>
      <c r="B19" s="14" t="s">
        <v>327</v>
      </c>
      <c r="C19" s="14" t="s">
        <v>326</v>
      </c>
      <c r="D19" s="14" t="s">
        <v>339</v>
      </c>
      <c r="E19" s="14" t="s">
        <v>322</v>
      </c>
    </row>
    <row r="24" spans="1:6" x14ac:dyDescent="0.2">
      <c r="A24" s="4">
        <f>SUM(A1:A4,A7,A13:A17,A19)</f>
        <v>0.80065746320869113</v>
      </c>
      <c r="B24" t="s">
        <v>341</v>
      </c>
    </row>
    <row r="25" spans="1:6" x14ac:dyDescent="0.2">
      <c r="A25">
        <v>0.80065746320869102</v>
      </c>
    </row>
    <row r="27" spans="1:6" x14ac:dyDescent="0.2">
      <c r="E27" t="s">
        <v>343</v>
      </c>
      <c r="F27" t="s">
        <v>342</v>
      </c>
    </row>
    <row r="28" spans="1:6" x14ac:dyDescent="0.2">
      <c r="D28" s="12" t="s">
        <v>328</v>
      </c>
      <c r="E28" s="12">
        <v>0.60496470841708605</v>
      </c>
      <c r="F28">
        <f>E28/SUM($E$28:$E$38)</f>
        <v>0.7555849239107163</v>
      </c>
    </row>
    <row r="29" spans="1:6" x14ac:dyDescent="0.2">
      <c r="D29" s="12" t="s">
        <v>329</v>
      </c>
      <c r="E29" s="12">
        <v>0.170490173414167</v>
      </c>
      <c r="F29">
        <f t="shared" ref="F29:F38" si="0">E29/SUM($E$28:$E$38)</f>
        <v>0.21293771837324246</v>
      </c>
    </row>
    <row r="30" spans="1:6" x14ac:dyDescent="0.2">
      <c r="D30" s="12" t="s">
        <v>290</v>
      </c>
      <c r="E30" s="12">
        <v>1.2332162617343799E-3</v>
      </c>
      <c r="F30">
        <f t="shared" si="0"/>
        <v>1.5402545013346643E-3</v>
      </c>
    </row>
    <row r="31" spans="1:6" x14ac:dyDescent="0.2">
      <c r="D31" s="12" t="s">
        <v>281</v>
      </c>
      <c r="E31" s="12">
        <v>2.7482282118931699E-4</v>
      </c>
      <c r="F31">
        <f t="shared" si="0"/>
        <v>3.4324643660716683E-4</v>
      </c>
    </row>
    <row r="32" spans="1:6" x14ac:dyDescent="0.2">
      <c r="D32" s="12" t="s">
        <v>325</v>
      </c>
      <c r="E32" s="13">
        <v>1.4454551494694501E-9</v>
      </c>
      <c r="F32">
        <f t="shared" si="0"/>
        <v>1.8053352599458535E-9</v>
      </c>
    </row>
    <row r="33" spans="3:6" x14ac:dyDescent="0.2">
      <c r="D33" s="12" t="s">
        <v>324</v>
      </c>
      <c r="E33" s="13">
        <v>3.7105553648984102E-10</v>
      </c>
      <c r="F33">
        <f t="shared" si="0"/>
        <v>4.6343855336439363E-10</v>
      </c>
    </row>
    <row r="34" spans="3:6" x14ac:dyDescent="0.2">
      <c r="D34" s="14" t="s">
        <v>324</v>
      </c>
      <c r="E34" s="15">
        <v>1.8275869705935501E-10</v>
      </c>
      <c r="F34">
        <f t="shared" si="0"/>
        <v>2.2826077999315297E-10</v>
      </c>
    </row>
    <row r="35" spans="3:6" x14ac:dyDescent="0.2">
      <c r="D35" s="14" t="s">
        <v>325</v>
      </c>
      <c r="E35" s="15">
        <v>1.8275869705935501E-10</v>
      </c>
      <c r="F35">
        <f t="shared" si="0"/>
        <v>2.2826077999315297E-10</v>
      </c>
    </row>
    <row r="36" spans="3:6" x14ac:dyDescent="0.2">
      <c r="D36" s="14" t="s">
        <v>337</v>
      </c>
      <c r="E36" s="14">
        <v>1.5703710265840901E-2</v>
      </c>
      <c r="F36">
        <f t="shared" si="0"/>
        <v>1.961351887348577E-2</v>
      </c>
    </row>
    <row r="37" spans="3:6" x14ac:dyDescent="0.2">
      <c r="D37" s="14" t="s">
        <v>338</v>
      </c>
      <c r="E37" s="14">
        <v>6.8111458857769E-3</v>
      </c>
      <c r="F37">
        <f t="shared" si="0"/>
        <v>8.5069411062263182E-3</v>
      </c>
    </row>
    <row r="38" spans="3:6" x14ac:dyDescent="0.2">
      <c r="D38" s="14" t="s">
        <v>339</v>
      </c>
      <c r="E38" s="14">
        <v>1.1796839608684999E-3</v>
      </c>
      <c r="F38">
        <f t="shared" si="0"/>
        <v>1.473394073091923E-3</v>
      </c>
    </row>
    <row r="41" spans="3:6" x14ac:dyDescent="0.2">
      <c r="C41" s="8"/>
      <c r="E41" s="16"/>
      <c r="F41">
        <f>SUM(F28:F38)</f>
        <v>0.99999999999999978</v>
      </c>
    </row>
    <row r="42" spans="3:6" x14ac:dyDescent="0.2">
      <c r="E42"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9"/>
  <sheetViews>
    <sheetView workbookViewId="0">
      <selection activeCell="E24" sqref="E24"/>
    </sheetView>
  </sheetViews>
  <sheetFormatPr baseColWidth="10" defaultColWidth="8.83203125" defaultRowHeight="15" x14ac:dyDescent="0.2"/>
  <cols>
    <col min="1" max="1" width="12" bestFit="1" customWidth="1"/>
    <col min="2" max="2" width="8.6640625" bestFit="1" customWidth="1"/>
    <col min="3" max="3" width="12.5" bestFit="1" customWidth="1"/>
    <col min="4" max="4" width="49.1640625" bestFit="1" customWidth="1"/>
  </cols>
  <sheetData>
    <row r="1" spans="1:4" x14ac:dyDescent="0.2">
      <c r="A1">
        <v>7.1429507115424E-3</v>
      </c>
      <c r="B1" t="s">
        <v>327</v>
      </c>
      <c r="C1" t="s">
        <v>357</v>
      </c>
      <c r="D1" t="s">
        <v>307</v>
      </c>
    </row>
    <row r="2" spans="1:4" x14ac:dyDescent="0.2">
      <c r="A2">
        <v>0.149921214972668</v>
      </c>
      <c r="B2" t="s">
        <v>327</v>
      </c>
      <c r="C2" t="s">
        <v>357</v>
      </c>
      <c r="D2" t="s">
        <v>307</v>
      </c>
    </row>
    <row r="3" spans="1:4" x14ac:dyDescent="0.2">
      <c r="A3">
        <v>0.384930999735831</v>
      </c>
      <c r="B3" t="s">
        <v>327</v>
      </c>
      <c r="C3" t="s">
        <v>357</v>
      </c>
      <c r="D3" t="s">
        <v>307</v>
      </c>
    </row>
    <row r="4" spans="1:4" x14ac:dyDescent="0.2">
      <c r="A4">
        <v>8.5540222163517903E-3</v>
      </c>
      <c r="B4" t="s">
        <v>327</v>
      </c>
      <c r="C4" t="s">
        <v>357</v>
      </c>
      <c r="D4" t="s">
        <v>307</v>
      </c>
    </row>
    <row r="5" spans="1:4" x14ac:dyDescent="0.2">
      <c r="A5">
        <v>0.13515355101835799</v>
      </c>
      <c r="B5" t="s">
        <v>327</v>
      </c>
      <c r="C5" t="s">
        <v>357</v>
      </c>
      <c r="D5" t="s">
        <v>307</v>
      </c>
    </row>
    <row r="6" spans="1:4" x14ac:dyDescent="0.2">
      <c r="A6">
        <v>0.17881386723022799</v>
      </c>
      <c r="B6" t="s">
        <v>327</v>
      </c>
      <c r="C6" t="s">
        <v>357</v>
      </c>
      <c r="D6" t="s">
        <v>317</v>
      </c>
    </row>
    <row r="7" spans="1:4" x14ac:dyDescent="0.2">
      <c r="A7">
        <v>0.135483394115021</v>
      </c>
      <c r="B7" t="s">
        <v>327</v>
      </c>
      <c r="C7" t="s">
        <v>357</v>
      </c>
      <c r="D7" t="s">
        <v>307</v>
      </c>
    </row>
    <row r="8" spans="1:4" x14ac:dyDescent="0.2">
      <c r="A8">
        <f>SUM(A1:A7)</f>
        <v>1.0000000000000002</v>
      </c>
    </row>
    <row r="11" spans="1:4" x14ac:dyDescent="0.2">
      <c r="A11">
        <f>A6</f>
        <v>0.17881386723022799</v>
      </c>
      <c r="B11" t="s">
        <v>317</v>
      </c>
    </row>
    <row r="12" spans="1:4" x14ac:dyDescent="0.2">
      <c r="A12">
        <f>SUM(A1:A5)+A7</f>
        <v>0.82118613276977226</v>
      </c>
      <c r="B12" t="s">
        <v>307</v>
      </c>
    </row>
    <row r="18" spans="1:1" x14ac:dyDescent="0.2">
      <c r="A18">
        <v>0.17881386723022799</v>
      </c>
    </row>
    <row r="19" spans="1:1" x14ac:dyDescent="0.2">
      <c r="A19">
        <v>0.82118613276977204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Pig iron</vt:lpstr>
      <vt:lpstr>Iron, ore</vt:lpstr>
      <vt:lpstr>Rhenium</vt:lpstr>
      <vt:lpstr>BGS</vt:lpstr>
      <vt:lpstr>Copper</vt:lpstr>
      <vt:lpstr>Molybdenum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2023-06-27T08:05:02Z</dcterms:created>
  <dcterms:modified xsi:type="dcterms:W3CDTF">2023-07-15T11:01:36Z</dcterms:modified>
</cp:coreProperties>
</file>