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hahnme_a\PycharmProjects\premise\premise\data\additional_inventories\"/>
    </mc:Choice>
  </mc:AlternateContent>
  <bookViews>
    <workbookView xWindow="0" yWindow="1380" windowWidth="30240" windowHeight="18885"/>
  </bookViews>
  <sheets>
    <sheet name="disaggregated cobalt" sheetId="3" r:id="rId1"/>
    <sheet name="cobalt" sheetId="1" r:id="rId2"/>
    <sheet name="params" sheetId="2" r:id="rId3"/>
  </sheets>
  <definedNames>
    <definedName name="_xlnm._FilterDatabase" localSheetId="1" hidden="1">cobalt!$A$3:$O$184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8" i="3" l="1"/>
  <c r="B67" i="3"/>
  <c r="B66" i="3"/>
  <c r="B124" i="3" l="1"/>
  <c r="B110" i="3"/>
  <c r="B100" i="3" l="1"/>
  <c r="B99" i="3"/>
  <c r="B13" i="1"/>
  <c r="B49" i="1"/>
  <c r="B38" i="1"/>
  <c r="B37" i="1"/>
  <c r="B36" i="1"/>
  <c r="B35" i="1"/>
  <c r="B74" i="1"/>
  <c r="B73" i="1"/>
  <c r="B72" i="1"/>
  <c r="B71" i="1"/>
  <c r="B143" i="1"/>
  <c r="B142" i="1"/>
  <c r="B106" i="1"/>
  <c r="B105" i="1"/>
  <c r="B70" i="1"/>
  <c r="B69" i="1"/>
  <c r="B34" i="1"/>
  <c r="B33" i="1"/>
  <c r="B68" i="1"/>
  <c r="B56" i="1"/>
  <c r="B54" i="1"/>
  <c r="B53" i="1" s="1"/>
  <c r="B52" i="1"/>
  <c r="B51" i="1"/>
  <c r="B50" i="1"/>
  <c r="B55" i="1"/>
  <c r="B32" i="1"/>
  <c r="B20" i="1"/>
  <c r="B19" i="1"/>
  <c r="B18" i="1"/>
  <c r="B17" i="1" s="1"/>
  <c r="B127" i="1"/>
  <c r="B126" i="1"/>
  <c r="B90" i="1"/>
  <c r="B89" i="1" s="1"/>
  <c r="B16" i="1"/>
  <c r="B15" i="1"/>
  <c r="B14" i="1"/>
  <c r="B125" i="1"/>
  <c r="B124" i="1"/>
  <c r="B141" i="1"/>
  <c r="B129" i="1"/>
  <c r="B123" i="1"/>
  <c r="B128" i="1"/>
  <c r="B241" i="3"/>
  <c r="B229" i="3"/>
  <c r="B208" i="3"/>
  <c r="B207" i="3"/>
  <c r="B206" i="3"/>
  <c r="B205" i="3"/>
  <c r="B204" i="3"/>
  <c r="B203" i="3"/>
  <c r="B202" i="3"/>
  <c r="B201" i="3"/>
  <c r="B200" i="3"/>
  <c r="B199" i="3"/>
  <c r="B198" i="3"/>
  <c r="B197" i="3"/>
  <c r="B196" i="3"/>
  <c r="B174" i="3"/>
  <c r="B173" i="3"/>
  <c r="B172" i="3"/>
  <c r="B171" i="3"/>
  <c r="B170" i="3"/>
  <c r="B169" i="3"/>
  <c r="B168" i="3"/>
  <c r="B167" i="3"/>
  <c r="B166" i="3"/>
  <c r="B165" i="3"/>
  <c r="B164" i="3"/>
  <c r="B163" i="3"/>
  <c r="B162" i="3"/>
  <c r="B134" i="3"/>
  <c r="B133" i="3"/>
  <c r="B130" i="3"/>
  <c r="B129" i="3"/>
  <c r="B128" i="3"/>
  <c r="B127" i="3"/>
  <c r="B126" i="3"/>
  <c r="B125" i="3"/>
  <c r="B109" i="3"/>
  <c r="B106" i="3"/>
  <c r="B105" i="3"/>
  <c r="B104" i="3"/>
  <c r="B103" i="3"/>
  <c r="B102" i="3"/>
  <c r="B101" i="3"/>
  <c r="B84" i="3"/>
  <c r="B83" i="3"/>
  <c r="B82" i="3"/>
  <c r="B81" i="3"/>
  <c r="B65" i="3"/>
  <c r="B64" i="3"/>
  <c r="B63" i="3"/>
  <c r="B62" i="3"/>
  <c r="B104" i="1"/>
  <c r="B88" i="1"/>
  <c r="B87" i="1"/>
  <c r="B92" i="1"/>
  <c r="B91" i="1"/>
  <c r="B86" i="1"/>
  <c r="M23" i="2"/>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c r="B86" i="3" l="1"/>
  <c r="B85" i="3"/>
  <c r="B87" i="3"/>
</calcChain>
</file>

<file path=xl/sharedStrings.xml><?xml version="1.0" encoding="utf-8"?>
<sst xmlns="http://schemas.openxmlformats.org/spreadsheetml/2006/main" count="1657" uniqueCount="200">
  <si>
    <t>Activity</t>
  </si>
  <si>
    <t>comment</t>
  </si>
  <si>
    <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</si>
  <si>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</si>
  <si>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</si>
  <si>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</si>
  <si>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</si>
  <si>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</si>
  <si>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</si>
  <si>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</si>
  <si>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</si>
  <si>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</si>
  <si>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</si>
  <si>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</si>
  <si>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</si>
  <si>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</si>
  <si>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</si>
  <si>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</si>
  <si>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</si>
  <si>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</si>
  <si>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</si>
  <si>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</si>
  <si>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</si>
  <si>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</si>
  <si>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</si>
  <si>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market group for transport, freight train</t>
  </si>
  <si>
    <t>transport, freight train</t>
  </si>
  <si>
    <t>market for transport, freight, sea, container ship</t>
  </si>
  <si>
    <t>transport, freight, sea, container ship</t>
  </si>
  <si>
    <t>RER</t>
  </si>
  <si>
    <t>CH</t>
  </si>
  <si>
    <t>megajoule</t>
  </si>
  <si>
    <t>heat, district or industrial, natural gas</t>
  </si>
  <si>
    <t>market for chemical factory, organics</t>
  </si>
  <si>
    <t>chemical factory, organics</t>
  </si>
  <si>
    <t>market for transport, freight train</t>
  </si>
  <si>
    <t>categories</t>
  </si>
  <si>
    <t>market for transport, freight, inland waterways, barge</t>
  </si>
  <si>
    <t>transport, freight, inland waterways, barge</t>
  </si>
  <si>
    <t>air</t>
  </si>
  <si>
    <t>biosphere</t>
  </si>
  <si>
    <t>Water</t>
  </si>
  <si>
    <t>cubic meter</t>
  </si>
  <si>
    <t>CN</t>
  </si>
  <si>
    <t>market for sodium hydroxide, without water, in 50% solution state</t>
  </si>
  <si>
    <t>sodium hydroxide, without water, in 50% solution state</t>
  </si>
  <si>
    <t>cobalt sulfate</t>
  </si>
  <si>
    <t>market for wastewater, average</t>
  </si>
  <si>
    <t>wastewater, average</t>
  </si>
  <si>
    <t>Water, cooling, unspecified natural origin</t>
  </si>
  <si>
    <t>natural resource::in water</t>
  </si>
  <si>
    <t>Europe without Switzerland</t>
  </si>
  <si>
    <t>market for sulfuric acid</t>
  </si>
  <si>
    <t>sulfuric acid</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</si>
  <si>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</si>
  <si>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</si>
  <si>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</si>
  <si>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</si>
  <si>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</si>
  <si>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</si>
  <si>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</si>
  <si>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</si>
  <si>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</si>
  <si>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</si>
  <si>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</si>
  <si>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</si>
  <si>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</si>
  <si>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</si>
  <si>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</si>
  <si>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</si>
  <si>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</si>
  <si>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</si>
  <si>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</si>
  <si>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</si>
  <si>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</si>
  <si>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</si>
  <si>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</si>
  <si>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</si>
  <si>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</si>
  <si>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database</t>
  </si>
  <si>
    <t>heat, from steam, in chemical industry</t>
  </si>
  <si>
    <t>market for diesel, burned in building machine</t>
  </si>
  <si>
    <t>diesel, burned in building machine</t>
  </si>
  <si>
    <t>market for lime</t>
  </si>
  <si>
    <t>lime</t>
  </si>
  <si>
    <t>non-sulfidic tailing, off-site</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</si>
  <si>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</si>
  <si>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</si>
  <si>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</si>
  <si>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</si>
  <si>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</si>
  <si>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</si>
  <si>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</si>
  <si>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</si>
  <si>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</si>
  <si>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</si>
  <si>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</si>
  <si>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</si>
  <si>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</si>
  <si>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</si>
  <si>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</si>
  <si>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</si>
  <si>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</si>
  <si>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</si>
  <si>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</si>
  <si>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</si>
  <si>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</si>
  <si>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</si>
  <si>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</si>
  <si>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</si>
  <si>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</si>
  <si>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</si>
  <si>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</si>
  <si>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</si>
  <si>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</si>
  <si>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</si>
  <si>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</si>
  <si>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</si>
  <si>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</si>
  <si>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</si>
  <si>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</si>
  <si>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</si>
  <si>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</si>
  <si>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</si>
  <si>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</si>
  <si>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</si>
  <si>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</si>
  <si>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</si>
  <si>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</si>
  <si>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</si>
  <si>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</si>
  <si>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</si>
  <si>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</si>
  <si>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</si>
  <si>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</si>
  <si>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</si>
  <si>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</si>
  <si>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</si>
  <si>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</si>
  <si>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</si>
  <si>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</si>
  <si>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</si>
  <si>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</si>
  <si>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</si>
  <si>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</si>
  <si>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</si>
  <si>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</si>
  <si>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</si>
  <si>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</si>
  <si>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</si>
  <si>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</si>
  <si>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</si>
  <si>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</si>
  <si>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</si>
  <si>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</si>
  <si>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</si>
  <si>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</si>
  <si>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</si>
  <si>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</si>
  <si>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</si>
  <si>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</si>
  <si>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</si>
  <si>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</si>
  <si>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</si>
  <si>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</si>
  <si>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</si>
  <si>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</si>
  <si>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</si>
  <si>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</si>
  <si>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</si>
  <si>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</si>
  <si>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</si>
  <si>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</si>
  <si>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</si>
  <si>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</si>
  <si>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</si>
  <si>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</si>
  <si>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</si>
  <si>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</si>
  <si>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</si>
  <si>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</si>
  <si>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</si>
  <si>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</si>
  <si>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</si>
  <si>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</si>
  <si>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</si>
  <si>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</si>
  <si>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</si>
  <si>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</si>
  <si>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</si>
  <si>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</si>
  <si>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</si>
  <si>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</si>
  <si>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</si>
  <si>
    <t>Cobalt metal refining in China, via electrolysis, from cobalt sulfate from the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</si>
  <si>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market for electricity, medium voltage, cobalt industry</t>
  </si>
  <si>
    <t>electricity, medium voltage, cobalt industry</t>
  </si>
  <si>
    <t>Total ore consumption [t/y]</t>
  </si>
  <si>
    <t>market for copper-cobalt ore</t>
  </si>
  <si>
    <t>Market created to facilitate the regionalization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</si>
</sst>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0.0000"/>
    <numFmt numFmtId="165" formatCode="0.000"/>
    <numFmt numFmtId="166" formatCode="0.00000"/>
    <numFmt numFmtId="167" formatCode="0.000000"/>
    <numFmt numFmtId="168" formatCode="0.0%"/>
    <numFmt numFmtId="169" formatCode="_ * #,##0_ ;_ * \-#,##0_ ;_ * &quot;-&quot;??_ ;_ @_ "/>
    <numFmt numFmtId="174" formatCode="0.00000E+00"/>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9" fillId="0" borderId="0" applyFont="0" applyFill="0" applyBorder="0" applyAlignment="0" applyProtection="0"/>
    <xf numFmtId="0" fontId="3" fillId="0" borderId="0"/>
    <xf numFmtId="9" fontId="3" fillId="0" borderId="0" applyFont="0" applyFill="0" applyBorder="0" applyAlignment="0" applyProtection="0"/>
    <xf numFmtId="43" fontId="9" fillId="0" borderId="0" applyFont="0" applyFill="0" applyBorder="0" applyAlignment="0" applyProtection="0"/>
  </cellStyleXfs>
  <cellXfs count="60">
    <xf numFmtId="0" fontId="0" fillId="0" borderId="0" xfId="0"/>
    <xf numFmtId="0" fontId="5" fillId="0" borderId="0" xfId="0" applyFont="1"/>
    <xf numFmtId="0" fontId="0" fillId="0" borderId="0" xfId="0" applyAlignment="1"/>
    <xf numFmtId="0" fontId="4" fillId="0" borderId="0" xfId="0" applyFont="1"/>
    <xf numFmtId="11" fontId="0" fillId="0" borderId="0" xfId="0" applyNumberFormat="1"/>
    <xf numFmtId="2" fontId="0" fillId="0" borderId="0" xfId="0" applyNumberFormat="1"/>
    <xf numFmtId="0" fontId="5" fillId="0" borderId="0" xfId="0" applyFont="1" applyAlignment="1"/>
    <xf numFmtId="11" fontId="0" fillId="0" borderId="0" xfId="0" applyNumberFormat="1" applyAlignment="1"/>
    <xf numFmtId="0" fontId="6" fillId="0" borderId="0" xfId="0" applyFont="1"/>
    <xf numFmtId="0" fontId="7" fillId="0" borderId="0" xfId="0" applyFont="1"/>
    <xf numFmtId="0" fontId="8" fillId="0" borderId="0" xfId="0" applyFont="1"/>
    <xf numFmtId="166" fontId="7" fillId="0" borderId="0" xfId="0" applyNumberFormat="1" applyFont="1"/>
    <xf numFmtId="166" fontId="0" fillId="0" borderId="0" xfId="0" applyNumberFormat="1"/>
    <xf numFmtId="167" fontId="7" fillId="0" borderId="0" xfId="0" applyNumberFormat="1" applyFont="1"/>
    <xf numFmtId="167" fontId="0" fillId="0" borderId="0" xfId="0" applyNumberFormat="1"/>
    <xf numFmtId="164" fontId="7" fillId="0" borderId="0" xfId="0" applyNumberFormat="1" applyFont="1"/>
    <xf numFmtId="164" fontId="0" fillId="0" borderId="0" xfId="0" applyNumberFormat="1"/>
    <xf numFmtId="0" fontId="3" fillId="0" borderId="0" xfId="2"/>
    <xf numFmtId="0" fontId="3" fillId="0" borderId="1" xfId="2" applyBorder="1"/>
    <xf numFmtId="0" fontId="3" fillId="0" borderId="2" xfId="2" applyBorder="1"/>
    <xf numFmtId="0" fontId="11" fillId="0" borderId="3" xfId="2" applyFont="1" applyBorder="1" applyAlignment="1">
      <alignment horizontal="right"/>
    </xf>
    <xf numFmtId="10" fontId="0" fillId="0" borderId="4" xfId="3" applyNumberFormat="1" applyFont="1" applyBorder="1"/>
    <xf numFmtId="9" fontId="0" fillId="0" borderId="4" xfId="3" applyFont="1" applyBorder="1"/>
    <xf numFmtId="2" fontId="3" fillId="0" borderId="0" xfId="2" applyNumberFormat="1"/>
    <xf numFmtId="0" fontId="11" fillId="0" borderId="5" xfId="2" applyFont="1" applyBorder="1" applyAlignment="1">
      <alignment horizontal="right"/>
    </xf>
    <xf numFmtId="9" fontId="0" fillId="0" borderId="6" xfId="3" applyFont="1" applyBorder="1"/>
    <xf numFmtId="0" fontId="3" fillId="0" borderId="0" xfId="2" applyAlignment="1">
      <alignment horizontal="left"/>
    </xf>
    <xf numFmtId="1" fontId="0" fillId="0" borderId="0" xfId="3" applyNumberFormat="1" applyFont="1" applyFill="1" applyBorder="1"/>
    <xf numFmtId="11" fontId="7" fillId="0" borderId="0" xfId="0" applyNumberFormat="1" applyFont="1"/>
    <xf numFmtId="168" fontId="7" fillId="0" borderId="0" xfId="1" applyNumberFormat="1" applyFont="1"/>
    <xf numFmtId="9" fontId="7" fillId="0" borderId="0" xfId="0" applyNumberFormat="1" applyFont="1"/>
    <xf numFmtId="0" fontId="3" fillId="0" borderId="7" xfId="2" applyBorder="1"/>
    <xf numFmtId="0" fontId="3" fillId="0" borderId="3" xfId="2" applyBorder="1"/>
    <xf numFmtId="0" fontId="3" fillId="0" borderId="0" xfId="2" applyBorder="1"/>
    <xf numFmtId="0" fontId="3" fillId="0" borderId="4" xfId="2" applyBorder="1"/>
    <xf numFmtId="0" fontId="10" fillId="0" borderId="0" xfId="2" applyFont="1" applyBorder="1"/>
    <xf numFmtId="0" fontId="10" fillId="0" borderId="4" xfId="2" applyFont="1" applyBorder="1"/>
    <xf numFmtId="0" fontId="12" fillId="0" borderId="3" xfId="2" applyFont="1" applyBorder="1"/>
    <xf numFmtId="0" fontId="13" fillId="0" borderId="0" xfId="2" applyFont="1" applyBorder="1"/>
    <xf numFmtId="165" fontId="3" fillId="0" borderId="0" xfId="2" applyNumberFormat="1" applyBorder="1"/>
    <xf numFmtId="2" fontId="3" fillId="0" borderId="0" xfId="2" applyNumberFormat="1" applyBorder="1"/>
    <xf numFmtId="11" fontId="3" fillId="0" borderId="0" xfId="2" applyNumberFormat="1" applyBorder="1"/>
    <xf numFmtId="0" fontId="13" fillId="0" borderId="8" xfId="2" applyFont="1" applyBorder="1"/>
    <xf numFmtId="0" fontId="3" fillId="0" borderId="8" xfId="2" applyBorder="1"/>
    <xf numFmtId="0" fontId="3" fillId="0" borderId="6" xfId="2" applyBorder="1"/>
    <xf numFmtId="0" fontId="2" fillId="0" borderId="0" xfId="2" applyFont="1"/>
    <xf numFmtId="9" fontId="3" fillId="0" borderId="0" xfId="1" applyFont="1"/>
    <xf numFmtId="10" fontId="3" fillId="0" borderId="0" xfId="1" applyNumberFormat="1" applyFont="1"/>
    <xf numFmtId="169" fontId="3" fillId="0" borderId="0" xfId="4" applyNumberFormat="1" applyFont="1"/>
    <xf numFmtId="43" fontId="3" fillId="0" borderId="0" xfId="2" applyNumberFormat="1"/>
    <xf numFmtId="0" fontId="7" fillId="0" borderId="0" xfId="0" applyFont="1" applyAlignment="1">
      <alignment horizontal="left"/>
    </xf>
    <xf numFmtId="165" fontId="7" fillId="0" borderId="0" xfId="0" applyNumberFormat="1" applyFont="1"/>
    <xf numFmtId="165" fontId="0" fillId="0" borderId="0" xfId="0" applyNumberFormat="1"/>
    <xf numFmtId="0" fontId="1" fillId="0" borderId="0" xfId="2" applyFont="1"/>
    <xf numFmtId="0" fontId="4" fillId="0" borderId="0" xfId="0" applyFont="1" applyFill="1"/>
    <xf numFmtId="0" fontId="0" fillId="0" borderId="0" xfId="0" applyFill="1"/>
    <xf numFmtId="0" fontId="0" fillId="0" borderId="0" xfId="0" applyFill="1" applyAlignment="1"/>
    <xf numFmtId="43" fontId="7" fillId="0" borderId="0" xfId="0" applyNumberFormat="1" applyFont="1"/>
    <xf numFmtId="0" fontId="3" fillId="0" borderId="7" xfId="2" applyBorder="1" applyAlignment="1">
      <alignment horizontal="center"/>
    </xf>
    <xf numFmtId="174" fontId="0" fillId="0" borderId="0" xfId="0" applyNumberFormat="1"/>
  </cellXfs>
  <cellStyles count="5">
    <cellStyle name="Comma" xfId="4" builtinId="3"/>
    <cellStyle name="Normal" xfId="0" builtinId="0"/>
    <cellStyle name="Normal 2" xfId="2"/>
    <cellStyle name="Per cent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abSelected="1" topLeftCell="A220" workbookViewId="0">
      <selection activeCell="C68" sqref="C68"/>
    </sheetView>
  </sheetViews>
  <sheetFormatPr defaultColWidth="11.42578125" defaultRowHeight="15" x14ac:dyDescent="0.25"/>
  <cols>
    <col min="1" max="1" width="54.42578125" customWidth="1"/>
    <col min="2" max="2" width="11.85546875" bestFit="1" customWidth="1"/>
  </cols>
  <sheetData>
    <row r="1" spans="1:7" x14ac:dyDescent="0.25">
      <c r="A1" s="3" t="s">
        <v>79</v>
      </c>
      <c r="B1" s="2" t="s">
        <v>125</v>
      </c>
    </row>
    <row r="3" spans="1:7" ht="15.75" x14ac:dyDescent="0.25">
      <c r="A3" s="1" t="s">
        <v>0</v>
      </c>
      <c r="B3" s="6" t="s">
        <v>62</v>
      </c>
    </row>
    <row r="4" spans="1:7" x14ac:dyDescent="0.25">
      <c r="A4" t="s">
        <v>1</v>
      </c>
      <c r="B4" s="2" t="s">
        <v>2</v>
      </c>
    </row>
    <row r="5" spans="1:7" x14ac:dyDescent="0.25">
      <c r="A5" t="s">
        <v>3</v>
      </c>
      <c r="B5" s="2" t="s">
        <v>4</v>
      </c>
    </row>
    <row r="6" spans="1:7" x14ac:dyDescent="0.25">
      <c r="A6" t="s">
        <v>5</v>
      </c>
      <c r="B6" s="2">
        <v>1</v>
      </c>
    </row>
    <row r="7" spans="1:7" x14ac:dyDescent="0.25">
      <c r="A7" t="s">
        <v>6</v>
      </c>
      <c r="B7" s="2" t="s">
        <v>62</v>
      </c>
    </row>
    <row r="8" spans="1:7" x14ac:dyDescent="0.25">
      <c r="A8" t="s">
        <v>7</v>
      </c>
      <c r="B8" s="2" t="s">
        <v>8</v>
      </c>
    </row>
    <row r="9" spans="1:7" x14ac:dyDescent="0.25">
      <c r="A9" t="s">
        <v>9</v>
      </c>
      <c r="B9" s="2" t="s">
        <v>65</v>
      </c>
    </row>
    <row r="10" spans="1:7" x14ac:dyDescent="0.25">
      <c r="A10" s="3" t="s">
        <v>10</v>
      </c>
      <c r="B10" s="2"/>
    </row>
    <row r="11" spans="1:7" x14ac:dyDescent="0.25">
      <c r="A11" t="s">
        <v>11</v>
      </c>
      <c r="B11" s="2" t="s">
        <v>12</v>
      </c>
      <c r="C11" t="s">
        <v>7</v>
      </c>
      <c r="D11" t="s">
        <v>36</v>
      </c>
      <c r="E11" t="s">
        <v>3</v>
      </c>
      <c r="F11" t="s">
        <v>13</v>
      </c>
      <c r="G11" t="s">
        <v>6</v>
      </c>
    </row>
    <row r="12" spans="1:7" x14ac:dyDescent="0.25">
      <c r="A12" t="s">
        <v>62</v>
      </c>
      <c r="B12" s="2">
        <v>1</v>
      </c>
      <c r="C12" t="s">
        <v>8</v>
      </c>
      <c r="E12" t="s">
        <v>4</v>
      </c>
      <c r="F12" t="s">
        <v>14</v>
      </c>
      <c r="G12" t="s">
        <v>62</v>
      </c>
    </row>
    <row r="13" spans="1:7" x14ac:dyDescent="0.25">
      <c r="A13" t="s">
        <v>66</v>
      </c>
      <c r="B13" s="2">
        <v>2.46E-2</v>
      </c>
      <c r="C13" t="s">
        <v>22</v>
      </c>
      <c r="E13" t="s">
        <v>4</v>
      </c>
      <c r="F13" t="s">
        <v>15</v>
      </c>
      <c r="G13" t="s">
        <v>38</v>
      </c>
    </row>
    <row r="14" spans="1:7" x14ac:dyDescent="0.25">
      <c r="A14" t="s">
        <v>23</v>
      </c>
      <c r="B14" s="2">
        <v>0.20880000000000001</v>
      </c>
      <c r="C14" t="s">
        <v>22</v>
      </c>
      <c r="E14" t="s">
        <v>17</v>
      </c>
      <c r="F14" t="s">
        <v>15</v>
      </c>
      <c r="G14" t="s">
        <v>24</v>
      </c>
    </row>
    <row r="15" spans="1:7" x14ac:dyDescent="0.25">
      <c r="A15" t="s">
        <v>27</v>
      </c>
      <c r="B15" s="2">
        <v>0.59899999999999998</v>
      </c>
      <c r="C15" t="s">
        <v>22</v>
      </c>
      <c r="E15" t="s">
        <v>4</v>
      </c>
      <c r="F15" t="s">
        <v>15</v>
      </c>
      <c r="G15" t="s">
        <v>28</v>
      </c>
    </row>
    <row r="16" spans="1:7" x14ac:dyDescent="0.25">
      <c r="A16" t="s">
        <v>25</v>
      </c>
      <c r="B16" s="2">
        <v>0.30909999999999999</v>
      </c>
      <c r="C16" t="s">
        <v>22</v>
      </c>
      <c r="E16" t="s">
        <v>4</v>
      </c>
      <c r="F16" t="s">
        <v>15</v>
      </c>
      <c r="G16" t="s">
        <v>26</v>
      </c>
    </row>
    <row r="17" spans="1:12" x14ac:dyDescent="0.25">
      <c r="A17" t="s">
        <v>44</v>
      </c>
      <c r="B17" s="2">
        <v>0.44298591783325703</v>
      </c>
      <c r="C17" t="s">
        <v>8</v>
      </c>
      <c r="E17" t="s">
        <v>4</v>
      </c>
      <c r="F17" t="s">
        <v>15</v>
      </c>
      <c r="G17" t="s">
        <v>45</v>
      </c>
    </row>
    <row r="18" spans="1:12" x14ac:dyDescent="0.25">
      <c r="A18" t="s">
        <v>67</v>
      </c>
      <c r="B18" s="2">
        <v>2.5999999999999999E-2</v>
      </c>
      <c r="C18" t="s">
        <v>8</v>
      </c>
      <c r="E18" t="s">
        <v>4</v>
      </c>
      <c r="F18" t="s">
        <v>15</v>
      </c>
      <c r="G18" t="s">
        <v>18</v>
      </c>
    </row>
    <row r="19" spans="1:12" x14ac:dyDescent="0.25">
      <c r="A19" t="s">
        <v>19</v>
      </c>
      <c r="B19" s="2">
        <v>0.41599999999999998</v>
      </c>
      <c r="C19" t="s">
        <v>20</v>
      </c>
      <c r="E19" t="s">
        <v>4</v>
      </c>
      <c r="F19" t="s">
        <v>15</v>
      </c>
      <c r="G19" t="s">
        <v>21</v>
      </c>
    </row>
    <row r="20" spans="1:12" x14ac:dyDescent="0.25">
      <c r="A20" t="s">
        <v>33</v>
      </c>
      <c r="B20" s="7">
        <v>4.0000000000000001E-10</v>
      </c>
      <c r="C20" t="s">
        <v>7</v>
      </c>
      <c r="E20" t="s">
        <v>4</v>
      </c>
      <c r="F20" t="s">
        <v>15</v>
      </c>
      <c r="G20" t="s">
        <v>34</v>
      </c>
      <c r="L20" s="4"/>
    </row>
    <row r="21" spans="1:12" x14ac:dyDescent="0.25">
      <c r="A21" t="s">
        <v>68</v>
      </c>
      <c r="B21" s="2">
        <v>2.35</v>
      </c>
      <c r="C21" t="s">
        <v>31</v>
      </c>
      <c r="E21" t="s">
        <v>4</v>
      </c>
      <c r="F21" t="s">
        <v>15</v>
      </c>
      <c r="G21" t="s">
        <v>32</v>
      </c>
    </row>
    <row r="22" spans="1:12" x14ac:dyDescent="0.25">
      <c r="A22" t="s">
        <v>47</v>
      </c>
      <c r="B22" s="7">
        <v>-8.4364552406030698E-7</v>
      </c>
      <c r="C22" t="s">
        <v>42</v>
      </c>
      <c r="E22" t="s">
        <v>51</v>
      </c>
      <c r="F22" t="s">
        <v>15</v>
      </c>
      <c r="G22" t="s">
        <v>48</v>
      </c>
      <c r="L22" s="4"/>
    </row>
    <row r="23" spans="1:12" x14ac:dyDescent="0.25">
      <c r="A23" t="s">
        <v>47</v>
      </c>
      <c r="B23" s="7">
        <v>-9.1266630702019795E-8</v>
      </c>
      <c r="C23" t="s">
        <v>42</v>
      </c>
      <c r="E23" t="s">
        <v>30</v>
      </c>
      <c r="F23" t="s">
        <v>15</v>
      </c>
      <c r="G23" t="s">
        <v>48</v>
      </c>
      <c r="L23" s="4"/>
    </row>
    <row r="24" spans="1:12" x14ac:dyDescent="0.25">
      <c r="A24" t="s">
        <v>47</v>
      </c>
      <c r="B24" s="7">
        <v>-1.7650878452376699E-6</v>
      </c>
      <c r="C24" t="s">
        <v>42</v>
      </c>
      <c r="E24" t="s">
        <v>17</v>
      </c>
      <c r="F24" t="s">
        <v>15</v>
      </c>
      <c r="G24" t="s">
        <v>48</v>
      </c>
      <c r="L24" s="4"/>
    </row>
    <row r="25" spans="1:12" x14ac:dyDescent="0.25">
      <c r="A25" t="s">
        <v>69</v>
      </c>
      <c r="B25" s="2">
        <v>0.20331400193753199</v>
      </c>
      <c r="C25" t="s">
        <v>8</v>
      </c>
      <c r="E25" t="s">
        <v>29</v>
      </c>
      <c r="F25" t="s">
        <v>15</v>
      </c>
      <c r="G25" t="s">
        <v>70</v>
      </c>
    </row>
    <row r="26" spans="1:12" x14ac:dyDescent="0.25">
      <c r="A26" t="s">
        <v>69</v>
      </c>
      <c r="B26" s="2">
        <v>0.50608380196448799</v>
      </c>
      <c r="C26" t="s">
        <v>8</v>
      </c>
      <c r="E26" t="s">
        <v>17</v>
      </c>
      <c r="F26" t="s">
        <v>15</v>
      </c>
      <c r="G26" t="s">
        <v>70</v>
      </c>
    </row>
    <row r="27" spans="1:12" x14ac:dyDescent="0.25">
      <c r="A27" t="s">
        <v>71</v>
      </c>
      <c r="B27" s="2">
        <v>4.09211487463271E-3</v>
      </c>
      <c r="C27" t="s">
        <v>8</v>
      </c>
      <c r="E27" t="s">
        <v>29</v>
      </c>
      <c r="F27" t="s">
        <v>15</v>
      </c>
      <c r="G27" t="s">
        <v>72</v>
      </c>
    </row>
    <row r="28" spans="1:12" x14ac:dyDescent="0.25">
      <c r="A28" t="s">
        <v>71</v>
      </c>
      <c r="B28" s="2">
        <v>1.4907885125367301E-2</v>
      </c>
      <c r="C28" t="s">
        <v>8</v>
      </c>
      <c r="E28" t="s">
        <v>17</v>
      </c>
      <c r="F28" t="s">
        <v>15</v>
      </c>
      <c r="G28" t="s">
        <v>72</v>
      </c>
    </row>
    <row r="29" spans="1:12" x14ac:dyDescent="0.25">
      <c r="A29" t="s">
        <v>73</v>
      </c>
      <c r="B29" s="2">
        <v>1.41879560780404E-3</v>
      </c>
      <c r="C29" t="s">
        <v>8</v>
      </c>
      <c r="D29" t="s">
        <v>39</v>
      </c>
      <c r="F29" t="s">
        <v>40</v>
      </c>
    </row>
    <row r="30" spans="1:12" x14ac:dyDescent="0.25">
      <c r="A30" t="s">
        <v>49</v>
      </c>
      <c r="B30" s="2">
        <v>1.6400000000000001E-2</v>
      </c>
      <c r="C30" t="s">
        <v>42</v>
      </c>
      <c r="D30" t="s">
        <v>50</v>
      </c>
      <c r="F30" t="s">
        <v>40</v>
      </c>
    </row>
    <row r="31" spans="1:12" x14ac:dyDescent="0.25">
      <c r="A31" t="s">
        <v>74</v>
      </c>
      <c r="B31" s="2">
        <v>1.3403674933189301E-3</v>
      </c>
      <c r="C31" t="s">
        <v>8</v>
      </c>
      <c r="D31" t="s">
        <v>64</v>
      </c>
      <c r="F31" t="s">
        <v>40</v>
      </c>
    </row>
    <row r="32" spans="1:12" x14ac:dyDescent="0.25">
      <c r="A32" t="s">
        <v>75</v>
      </c>
      <c r="B32" s="2">
        <v>8.3000000000000001E-4</v>
      </c>
      <c r="C32" t="s">
        <v>42</v>
      </c>
      <c r="D32" t="s">
        <v>50</v>
      </c>
      <c r="F32" t="s">
        <v>40</v>
      </c>
    </row>
    <row r="33" spans="1:11" x14ac:dyDescent="0.25">
      <c r="A33" t="s">
        <v>76</v>
      </c>
      <c r="B33" s="2">
        <v>1.9E-2</v>
      </c>
      <c r="C33" t="s">
        <v>8</v>
      </c>
      <c r="D33" t="s">
        <v>39</v>
      </c>
      <c r="F33" t="s">
        <v>40</v>
      </c>
    </row>
    <row r="34" spans="1:11" x14ac:dyDescent="0.25">
      <c r="A34" t="s">
        <v>77</v>
      </c>
      <c r="B34" s="2">
        <v>8.5999999999999998E-4</v>
      </c>
      <c r="C34" t="s">
        <v>42</v>
      </c>
      <c r="D34" t="s">
        <v>50</v>
      </c>
      <c r="F34" t="s">
        <v>40</v>
      </c>
    </row>
    <row r="35" spans="1:11" x14ac:dyDescent="0.25">
      <c r="A35" t="s">
        <v>78</v>
      </c>
      <c r="B35" s="2">
        <v>4.4886196299122301E-3</v>
      </c>
      <c r="C35" t="s">
        <v>8</v>
      </c>
      <c r="D35" t="s">
        <v>64</v>
      </c>
      <c r="F35" t="s">
        <v>40</v>
      </c>
    </row>
    <row r="36" spans="1:11" x14ac:dyDescent="0.25">
      <c r="A36" t="s">
        <v>41</v>
      </c>
      <c r="B36" s="2">
        <v>1.67E-2</v>
      </c>
      <c r="C36" t="s">
        <v>42</v>
      </c>
      <c r="D36" t="s">
        <v>64</v>
      </c>
      <c r="F36" t="s">
        <v>40</v>
      </c>
    </row>
    <row r="37" spans="1:11" x14ac:dyDescent="0.25">
      <c r="A37" t="s">
        <v>41</v>
      </c>
      <c r="B37" s="2">
        <v>1.4E-3</v>
      </c>
      <c r="C37" t="s">
        <v>42</v>
      </c>
      <c r="D37" t="s">
        <v>39</v>
      </c>
      <c r="F37" t="s">
        <v>40</v>
      </c>
    </row>
    <row r="38" spans="1:11" x14ac:dyDescent="0.25">
      <c r="B38" s="2"/>
    </row>
    <row r="39" spans="1:11" ht="15.75" x14ac:dyDescent="0.25">
      <c r="A39" s="8" t="s">
        <v>0</v>
      </c>
      <c r="B39" s="8" t="s">
        <v>86</v>
      </c>
      <c r="C39" s="8"/>
      <c r="D39" s="9"/>
      <c r="E39" s="9"/>
      <c r="F39" s="9"/>
      <c r="G39" s="9"/>
      <c r="H39" s="9"/>
      <c r="I39" s="9"/>
      <c r="J39" s="9"/>
      <c r="K39" s="9"/>
    </row>
    <row r="40" spans="1:11" x14ac:dyDescent="0.25">
      <c r="A40" s="9" t="s">
        <v>3</v>
      </c>
      <c r="B40" s="9" t="s">
        <v>87</v>
      </c>
      <c r="C40" s="9"/>
      <c r="D40" s="9"/>
      <c r="E40" s="9"/>
      <c r="F40" s="9"/>
      <c r="G40" s="9"/>
      <c r="H40" s="9"/>
      <c r="I40" s="9"/>
      <c r="J40" s="9"/>
      <c r="K40" s="9"/>
    </row>
    <row r="41" spans="1:11" x14ac:dyDescent="0.25">
      <c r="A41" s="9" t="s">
        <v>5</v>
      </c>
      <c r="B41" s="9">
        <v>1</v>
      </c>
      <c r="C41" s="9"/>
      <c r="D41" s="9"/>
      <c r="E41" s="9"/>
      <c r="F41" s="9"/>
      <c r="G41" s="9"/>
      <c r="H41" s="9"/>
      <c r="I41" s="9"/>
      <c r="J41" s="9"/>
      <c r="K41" s="9"/>
    </row>
    <row r="42" spans="1:11" x14ac:dyDescent="0.25">
      <c r="A42" s="9" t="s">
        <v>6</v>
      </c>
      <c r="B42" s="9" t="s">
        <v>88</v>
      </c>
      <c r="C42" s="9"/>
      <c r="D42" s="9"/>
      <c r="E42" s="9"/>
      <c r="F42" s="9"/>
      <c r="G42" s="9"/>
      <c r="H42" s="9"/>
      <c r="I42" s="9"/>
      <c r="J42" s="9"/>
      <c r="K42" s="9"/>
    </row>
    <row r="43" spans="1:11" x14ac:dyDescent="0.25">
      <c r="A43" s="9" t="s">
        <v>7</v>
      </c>
      <c r="B43" s="9" t="s">
        <v>8</v>
      </c>
      <c r="C43" s="9"/>
      <c r="D43" s="9"/>
      <c r="E43" s="9"/>
      <c r="F43" s="9"/>
      <c r="G43" s="9"/>
      <c r="H43" s="9"/>
      <c r="I43" s="9"/>
      <c r="J43" s="9"/>
      <c r="K43" s="9"/>
    </row>
    <row r="44" spans="1:11" x14ac:dyDescent="0.25">
      <c r="A44" s="9" t="s">
        <v>1</v>
      </c>
      <c r="B44" s="9" t="s">
        <v>89</v>
      </c>
      <c r="C44" s="9"/>
      <c r="D44" s="9"/>
      <c r="E44" s="9"/>
      <c r="F44" s="9"/>
      <c r="G44" s="9"/>
      <c r="H44" s="9"/>
      <c r="I44" s="9"/>
      <c r="J44" s="9"/>
      <c r="K44" s="9"/>
    </row>
    <row r="45" spans="1:11" x14ac:dyDescent="0.25">
      <c r="A45" s="10" t="s">
        <v>10</v>
      </c>
      <c r="B45" s="9"/>
      <c r="C45" s="9"/>
      <c r="D45" s="9"/>
      <c r="E45" s="9"/>
      <c r="F45" s="9"/>
      <c r="G45" s="9"/>
      <c r="H45" s="9"/>
      <c r="I45" s="9"/>
      <c r="J45" s="9"/>
      <c r="K45" s="9"/>
    </row>
    <row r="46" spans="1:11" x14ac:dyDescent="0.25">
      <c r="A46" s="9" t="s">
        <v>11</v>
      </c>
      <c r="B46" s="9" t="s">
        <v>12</v>
      </c>
      <c r="C46" s="9" t="s">
        <v>7</v>
      </c>
      <c r="D46" s="9" t="s">
        <v>36</v>
      </c>
      <c r="E46" s="9" t="s">
        <v>3</v>
      </c>
      <c r="F46" s="9" t="s">
        <v>13</v>
      </c>
      <c r="G46" s="9" t="s">
        <v>6</v>
      </c>
      <c r="H46" s="9"/>
      <c r="I46" s="9"/>
      <c r="J46" s="9"/>
      <c r="K46" s="9"/>
    </row>
    <row r="47" spans="1:11" x14ac:dyDescent="0.25">
      <c r="A47" s="9" t="s">
        <v>86</v>
      </c>
      <c r="B47" s="9">
        <v>1</v>
      </c>
      <c r="C47" s="9" t="s">
        <v>8</v>
      </c>
      <c r="D47" s="9"/>
      <c r="E47" s="9" t="s">
        <v>87</v>
      </c>
      <c r="F47" s="9" t="s">
        <v>14</v>
      </c>
      <c r="G47" s="9" t="s">
        <v>88</v>
      </c>
      <c r="H47" s="9"/>
      <c r="I47" s="9"/>
      <c r="J47" s="9"/>
      <c r="K47" s="9"/>
    </row>
    <row r="48" spans="1:11" x14ac:dyDescent="0.25">
      <c r="A48" s="9" t="s">
        <v>90</v>
      </c>
      <c r="B48" s="11">
        <v>4.7000000000000002E-3</v>
      </c>
      <c r="C48" s="9" t="s">
        <v>8</v>
      </c>
      <c r="D48" s="9" t="s">
        <v>91</v>
      </c>
      <c r="E48" s="9"/>
      <c r="F48" s="9" t="s">
        <v>40</v>
      </c>
      <c r="G48" s="9"/>
      <c r="H48" s="9"/>
      <c r="I48" s="9"/>
      <c r="J48" s="9"/>
      <c r="K48" s="9"/>
    </row>
    <row r="49" spans="1:11" x14ac:dyDescent="0.25">
      <c r="A49" s="9" t="s">
        <v>92</v>
      </c>
      <c r="B49" s="12">
        <v>2.4E-2</v>
      </c>
      <c r="C49" s="9" t="s">
        <v>8</v>
      </c>
      <c r="D49" s="9" t="s">
        <v>91</v>
      </c>
      <c r="E49" s="9"/>
      <c r="F49" s="9" t="s">
        <v>40</v>
      </c>
    </row>
    <row r="51" spans="1:11" ht="15.75" x14ac:dyDescent="0.25">
      <c r="A51" s="8" t="s">
        <v>0</v>
      </c>
      <c r="B51" s="8" t="s">
        <v>93</v>
      </c>
      <c r="C51" s="8"/>
      <c r="D51" s="9"/>
      <c r="E51" s="9"/>
      <c r="F51" s="9"/>
      <c r="G51" s="9"/>
      <c r="H51" s="9"/>
      <c r="I51" s="9"/>
      <c r="J51" s="9"/>
      <c r="K51" s="9"/>
    </row>
    <row r="52" spans="1:11" x14ac:dyDescent="0.25">
      <c r="A52" s="9" t="s">
        <v>3</v>
      </c>
      <c r="B52" s="9" t="s">
        <v>87</v>
      </c>
      <c r="C52" s="9"/>
      <c r="D52" s="9"/>
      <c r="E52" s="9"/>
      <c r="F52" s="9"/>
      <c r="G52" s="9"/>
      <c r="H52" s="9"/>
      <c r="I52" s="9"/>
      <c r="J52" s="9"/>
      <c r="K52" s="9"/>
    </row>
    <row r="53" spans="1:11" x14ac:dyDescent="0.25">
      <c r="A53" s="9" t="s">
        <v>5</v>
      </c>
      <c r="B53" s="9">
        <v>1</v>
      </c>
      <c r="C53" s="9"/>
      <c r="D53" s="9"/>
      <c r="E53" s="9"/>
      <c r="F53" s="9"/>
      <c r="G53" s="9"/>
      <c r="H53" s="9"/>
      <c r="I53" s="9"/>
      <c r="J53" s="9"/>
      <c r="K53" s="9"/>
    </row>
    <row r="54" spans="1:11" x14ac:dyDescent="0.25">
      <c r="A54" s="9" t="s">
        <v>6</v>
      </c>
      <c r="B54" s="9" t="s">
        <v>88</v>
      </c>
      <c r="C54" s="9"/>
      <c r="D54" s="9"/>
      <c r="E54" s="9"/>
      <c r="F54" s="9"/>
      <c r="G54" s="9"/>
      <c r="H54" s="9"/>
      <c r="I54" s="9"/>
      <c r="J54" s="9"/>
      <c r="K54" s="9"/>
    </row>
    <row r="55" spans="1:11" x14ac:dyDescent="0.25">
      <c r="A55" s="9" t="s">
        <v>7</v>
      </c>
      <c r="B55" s="9" t="s">
        <v>8</v>
      </c>
      <c r="C55" s="9"/>
      <c r="D55" s="9"/>
      <c r="E55" s="9"/>
      <c r="F55" s="9"/>
      <c r="G55" s="9"/>
      <c r="H55" s="9"/>
      <c r="I55" s="9"/>
      <c r="J55" s="9"/>
      <c r="K55" s="9"/>
    </row>
    <row r="56" spans="1:11" x14ac:dyDescent="0.25">
      <c r="A56" s="9" t="s">
        <v>1</v>
      </c>
      <c r="B56" s="9" t="s">
        <v>94</v>
      </c>
      <c r="C56" s="9"/>
      <c r="D56" s="9"/>
      <c r="E56" s="9"/>
      <c r="F56" s="9"/>
      <c r="G56" s="9"/>
      <c r="H56" s="9"/>
      <c r="I56" s="9"/>
      <c r="J56" s="9"/>
      <c r="K56" s="9"/>
    </row>
    <row r="57" spans="1:11" x14ac:dyDescent="0.25">
      <c r="A57" s="10" t="s">
        <v>10</v>
      </c>
      <c r="B57" s="9"/>
      <c r="C57" s="9"/>
      <c r="D57" s="9"/>
      <c r="E57" s="9"/>
      <c r="F57" s="9"/>
      <c r="G57" s="9"/>
      <c r="H57" s="9"/>
      <c r="I57" s="9"/>
      <c r="J57" s="9"/>
      <c r="K57" s="9"/>
    </row>
    <row r="58" spans="1:11" x14ac:dyDescent="0.25">
      <c r="A58" s="9" t="s">
        <v>11</v>
      </c>
      <c r="B58" s="9" t="s">
        <v>12</v>
      </c>
      <c r="C58" s="9" t="s">
        <v>7</v>
      </c>
      <c r="D58" s="9" t="s">
        <v>36</v>
      </c>
      <c r="E58" s="9" t="s">
        <v>3</v>
      </c>
      <c r="F58" s="9" t="s">
        <v>13</v>
      </c>
      <c r="G58" s="9" t="s">
        <v>6</v>
      </c>
      <c r="H58" s="9"/>
      <c r="I58" s="9"/>
      <c r="J58" s="9"/>
      <c r="K58" s="9"/>
    </row>
    <row r="59" spans="1:11" x14ac:dyDescent="0.25">
      <c r="A59" s="9" t="s">
        <v>93</v>
      </c>
      <c r="B59" s="9">
        <v>1</v>
      </c>
      <c r="C59" s="9" t="s">
        <v>8</v>
      </c>
      <c r="D59" s="9"/>
      <c r="E59" s="9" t="s">
        <v>87</v>
      </c>
      <c r="F59" s="9" t="s">
        <v>14</v>
      </c>
      <c r="G59" s="9" t="s">
        <v>88</v>
      </c>
      <c r="H59" s="9"/>
      <c r="I59" s="9"/>
      <c r="J59" s="9"/>
      <c r="K59" s="9"/>
    </row>
    <row r="60" spans="1:11" x14ac:dyDescent="0.25">
      <c r="A60" s="9" t="s">
        <v>90</v>
      </c>
      <c r="B60" s="13">
        <v>4.7000000000000002E-3</v>
      </c>
      <c r="C60" s="9" t="s">
        <v>8</v>
      </c>
      <c r="D60" s="9" t="s">
        <v>91</v>
      </c>
      <c r="E60" s="9"/>
      <c r="F60" s="9" t="s">
        <v>40</v>
      </c>
      <c r="G60" s="9"/>
      <c r="H60" s="9"/>
      <c r="I60" s="9"/>
      <c r="J60" s="9"/>
      <c r="K60" s="9"/>
    </row>
    <row r="61" spans="1:11" x14ac:dyDescent="0.25">
      <c r="A61" s="9" t="s">
        <v>92</v>
      </c>
      <c r="B61" s="14">
        <v>2.4E-2</v>
      </c>
      <c r="C61" s="9" t="s">
        <v>8</v>
      </c>
      <c r="D61" s="9" t="s">
        <v>91</v>
      </c>
      <c r="E61" s="9"/>
      <c r="F61" s="9" t="s">
        <v>40</v>
      </c>
    </row>
    <row r="62" spans="1:11" x14ac:dyDescent="0.25">
      <c r="A62" t="s">
        <v>95</v>
      </c>
      <c r="B62" s="28">
        <f>params!F12/1000</f>
        <v>1.029231333E-4</v>
      </c>
      <c r="C62" s="9" t="s">
        <v>42</v>
      </c>
      <c r="D62" s="9" t="s">
        <v>91</v>
      </c>
      <c r="F62" s="9" t="s">
        <v>40</v>
      </c>
    </row>
    <row r="63" spans="1:11" x14ac:dyDescent="0.25">
      <c r="A63" t="s">
        <v>81</v>
      </c>
      <c r="B63" s="4">
        <f>params!F8</f>
        <v>0.35160227650000009</v>
      </c>
      <c r="C63" s="9" t="s">
        <v>31</v>
      </c>
      <c r="E63" t="s">
        <v>4</v>
      </c>
      <c r="F63" s="9" t="s">
        <v>15</v>
      </c>
      <c r="G63" t="s">
        <v>82</v>
      </c>
    </row>
    <row r="64" spans="1:11" x14ac:dyDescent="0.25">
      <c r="A64" t="s">
        <v>96</v>
      </c>
      <c r="B64" s="28">
        <f>params!F26</f>
        <v>8.6288240000000006E-4</v>
      </c>
      <c r="C64" s="9" t="s">
        <v>8</v>
      </c>
      <c r="D64" s="9" t="s">
        <v>39</v>
      </c>
      <c r="F64" s="9" t="s">
        <v>40</v>
      </c>
    </row>
    <row r="65" spans="1:11" x14ac:dyDescent="0.25">
      <c r="A65" t="s">
        <v>97</v>
      </c>
      <c r="B65" s="4">
        <f>params!F27</f>
        <v>8.9060300000000012E-5</v>
      </c>
      <c r="C65" s="9" t="s">
        <v>8</v>
      </c>
      <c r="D65" s="9" t="s">
        <v>39</v>
      </c>
      <c r="F65" s="9" t="s">
        <v>40</v>
      </c>
    </row>
    <row r="66" spans="1:11" x14ac:dyDescent="0.25">
      <c r="A66" t="s">
        <v>187</v>
      </c>
      <c r="B66" s="59">
        <f>0.000288682761151584/(B196*B124*B148*B228)</f>
        <v>1.7060578978245007E-6</v>
      </c>
      <c r="C66" t="s">
        <v>188</v>
      </c>
      <c r="D66" t="s">
        <v>189</v>
      </c>
      <c r="F66" t="s">
        <v>40</v>
      </c>
    </row>
    <row r="67" spans="1:11" x14ac:dyDescent="0.25">
      <c r="A67" t="s">
        <v>190</v>
      </c>
      <c r="B67" s="59">
        <f>9.59621316379749E-06/(B196*B124*B148*B228)</f>
        <v>5.6711717706993802E-8</v>
      </c>
      <c r="C67" t="s">
        <v>191</v>
      </c>
      <c r="D67" t="s">
        <v>189</v>
      </c>
      <c r="F67" t="s">
        <v>40</v>
      </c>
    </row>
    <row r="68" spans="1:11" x14ac:dyDescent="0.25">
      <c r="A68" t="s">
        <v>192</v>
      </c>
      <c r="B68" s="59">
        <f>9.59621316379749E-06/(B196*B124*B148*B228)</f>
        <v>5.6711717706993802E-8</v>
      </c>
      <c r="C68" t="s">
        <v>191</v>
      </c>
      <c r="D68" t="s">
        <v>189</v>
      </c>
      <c r="F68" t="s">
        <v>40</v>
      </c>
    </row>
    <row r="70" spans="1:11" ht="15.75" x14ac:dyDescent="0.25">
      <c r="A70" s="8" t="s">
        <v>0</v>
      </c>
      <c r="B70" s="8" t="s">
        <v>98</v>
      </c>
      <c r="C70" s="8"/>
      <c r="D70" s="9"/>
      <c r="E70" s="9"/>
      <c r="F70" s="9"/>
      <c r="G70" s="9"/>
      <c r="H70" s="9"/>
      <c r="I70" s="9"/>
      <c r="J70" s="9"/>
      <c r="K70" s="9"/>
    </row>
    <row r="71" spans="1:11" x14ac:dyDescent="0.25">
      <c r="A71" s="9" t="s">
        <v>3</v>
      </c>
      <c r="B71" s="9" t="s">
        <v>87</v>
      </c>
      <c r="C71" s="9"/>
      <c r="D71" s="9"/>
      <c r="E71" s="9"/>
      <c r="F71" s="9"/>
      <c r="G71" s="9"/>
      <c r="H71" s="9"/>
      <c r="I71" s="9"/>
      <c r="J71" s="9"/>
      <c r="K71" s="9"/>
    </row>
    <row r="72" spans="1:11" x14ac:dyDescent="0.25">
      <c r="A72" s="9" t="s">
        <v>5</v>
      </c>
      <c r="B72" s="9">
        <v>1</v>
      </c>
      <c r="C72" s="9"/>
      <c r="D72" s="9"/>
      <c r="E72" s="9"/>
      <c r="F72" s="9"/>
      <c r="G72" s="9"/>
      <c r="H72" s="9"/>
      <c r="I72" s="9"/>
      <c r="J72" s="9"/>
      <c r="K72" s="9"/>
    </row>
    <row r="73" spans="1:11" x14ac:dyDescent="0.25">
      <c r="A73" s="9" t="s">
        <v>6</v>
      </c>
      <c r="B73" s="9" t="s">
        <v>88</v>
      </c>
      <c r="C73" s="9"/>
      <c r="D73" s="9"/>
      <c r="E73" s="9"/>
      <c r="F73" s="9"/>
      <c r="G73" s="9"/>
      <c r="H73" s="9"/>
      <c r="I73" s="9"/>
      <c r="J73" s="9"/>
      <c r="K73" s="9"/>
    </row>
    <row r="74" spans="1:11" x14ac:dyDescent="0.25">
      <c r="A74" s="9" t="s">
        <v>7</v>
      </c>
      <c r="B74" s="9" t="s">
        <v>8</v>
      </c>
      <c r="C74" s="9"/>
      <c r="D74" s="9"/>
      <c r="E74" s="9"/>
      <c r="F74" s="9"/>
      <c r="G74" s="9"/>
      <c r="H74" s="9"/>
      <c r="I74" s="9"/>
      <c r="J74" s="9"/>
      <c r="K74" s="9"/>
    </row>
    <row r="75" spans="1:11" x14ac:dyDescent="0.25">
      <c r="A75" s="9" t="s">
        <v>1</v>
      </c>
      <c r="B75" s="9" t="s">
        <v>94</v>
      </c>
      <c r="C75" s="9"/>
      <c r="D75" s="9"/>
      <c r="E75" s="9"/>
      <c r="F75" s="9"/>
      <c r="G75" s="9"/>
      <c r="H75" s="9"/>
      <c r="I75" s="9"/>
      <c r="J75" s="9"/>
      <c r="K75" s="9"/>
    </row>
    <row r="76" spans="1:11" x14ac:dyDescent="0.25">
      <c r="A76" s="10" t="s">
        <v>10</v>
      </c>
      <c r="B76" s="9"/>
      <c r="C76" s="9"/>
      <c r="D76" s="9"/>
      <c r="E76" s="9"/>
      <c r="F76" s="9"/>
      <c r="G76" s="9"/>
      <c r="H76" s="9"/>
      <c r="I76" s="9"/>
      <c r="J76" s="9"/>
      <c r="K76" s="9"/>
    </row>
    <row r="77" spans="1:11" x14ac:dyDescent="0.25">
      <c r="A77" s="9" t="s">
        <v>11</v>
      </c>
      <c r="B77" s="9" t="s">
        <v>12</v>
      </c>
      <c r="C77" s="9" t="s">
        <v>7</v>
      </c>
      <c r="D77" s="9" t="s">
        <v>36</v>
      </c>
      <c r="E77" s="9" t="s">
        <v>3</v>
      </c>
      <c r="F77" s="9" t="s">
        <v>13</v>
      </c>
      <c r="G77" s="9" t="s">
        <v>6</v>
      </c>
      <c r="H77" s="9"/>
      <c r="I77" s="9"/>
      <c r="J77" s="9"/>
      <c r="K77" s="9"/>
    </row>
    <row r="78" spans="1:11" x14ac:dyDescent="0.25">
      <c r="A78" s="9" t="s">
        <v>98</v>
      </c>
      <c r="B78" s="9">
        <v>1</v>
      </c>
      <c r="C78" s="9" t="s">
        <v>8</v>
      </c>
      <c r="D78" s="9"/>
      <c r="E78" s="9" t="s">
        <v>87</v>
      </c>
      <c r="F78" s="9" t="s">
        <v>14</v>
      </c>
      <c r="G78" s="9" t="s">
        <v>88</v>
      </c>
      <c r="H78" s="9"/>
      <c r="I78" s="9"/>
      <c r="J78" s="9"/>
      <c r="K78" s="9"/>
    </row>
    <row r="79" spans="1:11" x14ac:dyDescent="0.25">
      <c r="A79" s="9" t="s">
        <v>90</v>
      </c>
      <c r="B79" s="11">
        <v>4.7000000000000002E-3</v>
      </c>
      <c r="C79" s="9" t="s">
        <v>8</v>
      </c>
      <c r="D79" s="9" t="s">
        <v>91</v>
      </c>
      <c r="E79" s="9"/>
      <c r="F79" s="9" t="s">
        <v>40</v>
      </c>
      <c r="G79" s="9"/>
      <c r="H79" s="9"/>
      <c r="I79" s="9"/>
      <c r="J79" s="9"/>
      <c r="K79" s="9"/>
    </row>
    <row r="80" spans="1:11" x14ac:dyDescent="0.25">
      <c r="A80" s="9" t="s">
        <v>92</v>
      </c>
      <c r="B80" s="12">
        <v>2.4E-2</v>
      </c>
      <c r="C80" s="9" t="s">
        <v>8</v>
      </c>
      <c r="D80" s="9" t="s">
        <v>91</v>
      </c>
      <c r="E80" s="9"/>
      <c r="F80" s="9" t="s">
        <v>40</v>
      </c>
    </row>
    <row r="81" spans="1:11" x14ac:dyDescent="0.25">
      <c r="A81" t="s">
        <v>95</v>
      </c>
      <c r="B81" s="11">
        <f>params!D12/1000</f>
        <v>3.1312828799999999E-5</v>
      </c>
      <c r="C81" s="9" t="s">
        <v>42</v>
      </c>
      <c r="D81" s="9" t="s">
        <v>91</v>
      </c>
      <c r="F81" s="9" t="s">
        <v>40</v>
      </c>
    </row>
    <row r="82" spans="1:11" x14ac:dyDescent="0.25">
      <c r="A82" t="s">
        <v>81</v>
      </c>
      <c r="B82" s="12">
        <f>params!D8</f>
        <v>0.10695980350000002</v>
      </c>
      <c r="C82" s="9" t="s">
        <v>31</v>
      </c>
      <c r="E82" t="s">
        <v>4</v>
      </c>
      <c r="F82" s="9" t="s">
        <v>15</v>
      </c>
      <c r="G82" t="s">
        <v>82</v>
      </c>
    </row>
    <row r="83" spans="1:11" x14ac:dyDescent="0.25">
      <c r="A83" t="s">
        <v>96</v>
      </c>
      <c r="B83" s="11">
        <f>params!D26</f>
        <v>2.6249029999999998E-4</v>
      </c>
      <c r="C83" s="9" t="s">
        <v>8</v>
      </c>
      <c r="D83" s="9" t="s">
        <v>39</v>
      </c>
      <c r="F83" s="9" t="s">
        <v>40</v>
      </c>
    </row>
    <row r="84" spans="1:11" x14ac:dyDescent="0.25">
      <c r="A84" t="s">
        <v>97</v>
      </c>
      <c r="B84" s="12">
        <f>params!D27</f>
        <v>2.7090800000000002E-5</v>
      </c>
      <c r="C84" s="9" t="s">
        <v>8</v>
      </c>
      <c r="D84" s="9" t="s">
        <v>39</v>
      </c>
      <c r="F84" s="9" t="s">
        <v>40</v>
      </c>
    </row>
    <row r="85" spans="1:11" x14ac:dyDescent="0.25">
      <c r="A85" t="s">
        <v>187</v>
      </c>
      <c r="B85">
        <f>0.000288682761151584/(B228*B162*B100)</f>
        <v>2.3569299555983307E-6</v>
      </c>
      <c r="C85" t="s">
        <v>188</v>
      </c>
      <c r="D85" t="s">
        <v>189</v>
      </c>
      <c r="F85" t="s">
        <v>40</v>
      </c>
    </row>
    <row r="86" spans="1:11" x14ac:dyDescent="0.25">
      <c r="A86" t="s">
        <v>190</v>
      </c>
      <c r="B86">
        <f>9.59621316379749E-06/(B228*B162*B100)</f>
        <v>7.8347602661958373E-8</v>
      </c>
      <c r="C86" t="s">
        <v>191</v>
      </c>
      <c r="D86" t="s">
        <v>189</v>
      </c>
      <c r="F86" t="s">
        <v>40</v>
      </c>
    </row>
    <row r="87" spans="1:11" x14ac:dyDescent="0.25">
      <c r="A87" t="s">
        <v>192</v>
      </c>
      <c r="B87">
        <f>9.59621316379749E-06/(B228*B162*B100)</f>
        <v>7.8347602661958373E-8</v>
      </c>
      <c r="C87" t="s">
        <v>191</v>
      </c>
      <c r="D87" t="s">
        <v>189</v>
      </c>
      <c r="F87" t="s">
        <v>40</v>
      </c>
    </row>
    <row r="89" spans="1:11" ht="15.75" x14ac:dyDescent="0.25">
      <c r="A89" s="8" t="s">
        <v>0</v>
      </c>
      <c r="B89" s="8" t="s">
        <v>99</v>
      </c>
      <c r="C89" s="8"/>
      <c r="D89" s="9"/>
      <c r="E89" s="9"/>
      <c r="F89" s="9"/>
      <c r="G89" s="9"/>
      <c r="H89" s="9"/>
      <c r="I89" s="9"/>
      <c r="J89" s="9"/>
      <c r="K89" s="9"/>
    </row>
    <row r="90" spans="1:11" x14ac:dyDescent="0.25">
      <c r="A90" s="9" t="s">
        <v>3</v>
      </c>
      <c r="B90" s="9" t="s">
        <v>87</v>
      </c>
      <c r="C90" s="9"/>
      <c r="D90" s="9"/>
      <c r="E90" s="9"/>
      <c r="F90" s="9"/>
      <c r="G90" s="9"/>
      <c r="H90" s="9"/>
      <c r="I90" s="9"/>
      <c r="J90" s="9"/>
      <c r="K90" s="9"/>
    </row>
    <row r="91" spans="1:11" x14ac:dyDescent="0.25">
      <c r="A91" s="9" t="s">
        <v>5</v>
      </c>
      <c r="B91" s="9">
        <v>1</v>
      </c>
      <c r="C91" s="9"/>
      <c r="D91" s="9"/>
      <c r="E91" s="9"/>
      <c r="F91" s="9"/>
      <c r="G91" s="9"/>
      <c r="H91" s="9"/>
      <c r="I91" s="9"/>
      <c r="J91" s="9"/>
      <c r="K91" s="9"/>
    </row>
    <row r="92" spans="1:11" x14ac:dyDescent="0.25">
      <c r="A92" s="9" t="s">
        <v>6</v>
      </c>
      <c r="B92" s="9" t="s">
        <v>63</v>
      </c>
      <c r="C92" s="9"/>
      <c r="D92" s="9"/>
      <c r="E92" s="9"/>
      <c r="F92" s="9"/>
      <c r="G92" s="9"/>
      <c r="H92" s="9"/>
      <c r="I92" s="9"/>
      <c r="J92" s="9"/>
      <c r="K92" s="9"/>
    </row>
    <row r="93" spans="1:11" x14ac:dyDescent="0.25">
      <c r="A93" s="9" t="s">
        <v>7</v>
      </c>
      <c r="B93" s="9" t="s">
        <v>8</v>
      </c>
      <c r="C93" s="9"/>
      <c r="D93" s="9"/>
      <c r="E93" s="9"/>
      <c r="F93" s="9"/>
      <c r="G93" s="9"/>
      <c r="H93" s="9"/>
      <c r="I93" s="9"/>
      <c r="J93" s="9"/>
      <c r="K93" s="9"/>
    </row>
    <row r="94" spans="1:11" x14ac:dyDescent="0.25">
      <c r="A94" s="9" t="s">
        <v>1</v>
      </c>
      <c r="B94" s="9" t="s">
        <v>100</v>
      </c>
      <c r="C94" s="9"/>
      <c r="D94" s="9"/>
      <c r="E94" s="9"/>
      <c r="F94" s="9"/>
      <c r="G94" s="9"/>
      <c r="H94" s="9"/>
      <c r="I94" s="9"/>
      <c r="J94" s="9"/>
      <c r="K94" s="9"/>
    </row>
    <row r="95" spans="1:11" x14ac:dyDescent="0.25">
      <c r="A95" s="9" t="s">
        <v>174</v>
      </c>
      <c r="B95" s="29">
        <v>7.0999999999999994E-2</v>
      </c>
      <c r="C95" s="9"/>
      <c r="D95" s="9"/>
      <c r="E95" s="9"/>
      <c r="F95" s="9"/>
      <c r="G95" s="9"/>
      <c r="H95" s="9"/>
      <c r="I95" s="9"/>
      <c r="J95" s="9"/>
      <c r="K95" s="9"/>
    </row>
    <row r="96" spans="1:11" x14ac:dyDescent="0.25">
      <c r="A96" s="10" t="s">
        <v>10</v>
      </c>
      <c r="B96" s="9"/>
      <c r="C96" s="9"/>
      <c r="D96" s="9"/>
      <c r="E96" s="9"/>
      <c r="F96" s="9"/>
      <c r="G96" s="9"/>
      <c r="H96" s="9"/>
      <c r="I96" s="9"/>
      <c r="J96" s="9"/>
      <c r="K96" s="9"/>
    </row>
    <row r="97" spans="1:11" x14ac:dyDescent="0.25">
      <c r="A97" s="9" t="s">
        <v>11</v>
      </c>
      <c r="B97" s="9" t="s">
        <v>12</v>
      </c>
      <c r="C97" s="9" t="s">
        <v>7</v>
      </c>
      <c r="D97" s="9" t="s">
        <v>36</v>
      </c>
      <c r="E97" s="9" t="s">
        <v>3</v>
      </c>
      <c r="F97" s="9" t="s">
        <v>13</v>
      </c>
      <c r="G97" s="9" t="s">
        <v>6</v>
      </c>
      <c r="H97" s="9"/>
      <c r="I97" s="9"/>
      <c r="J97" s="9"/>
      <c r="K97" s="9"/>
    </row>
    <row r="98" spans="1:11" x14ac:dyDescent="0.25">
      <c r="A98" s="9" t="s">
        <v>99</v>
      </c>
      <c r="B98" s="9">
        <v>1</v>
      </c>
      <c r="C98" s="9" t="s">
        <v>8</v>
      </c>
      <c r="D98" s="9"/>
      <c r="E98" s="9" t="s">
        <v>87</v>
      </c>
      <c r="F98" s="9" t="s">
        <v>14</v>
      </c>
      <c r="G98" s="9" t="s">
        <v>63</v>
      </c>
      <c r="H98" s="9"/>
      <c r="I98" s="9"/>
      <c r="J98" s="9"/>
      <c r="K98" s="9"/>
    </row>
    <row r="99" spans="1:11" x14ac:dyDescent="0.25">
      <c r="A99" s="9" t="s">
        <v>86</v>
      </c>
      <c r="B99" s="15">
        <f>0.2*params!M30</f>
        <v>10.712943262411347</v>
      </c>
      <c r="C99" s="9" t="s">
        <v>8</v>
      </c>
      <c r="D99" s="9"/>
      <c r="E99" s="9" t="s">
        <v>87</v>
      </c>
      <c r="F99" s="9" t="s">
        <v>15</v>
      </c>
      <c r="G99" s="9" t="s">
        <v>88</v>
      </c>
    </row>
    <row r="100" spans="1:11" x14ac:dyDescent="0.25">
      <c r="A100" s="9" t="s">
        <v>98</v>
      </c>
      <c r="B100" s="15">
        <f>0.8*params!M30</f>
        <v>42.851773049645388</v>
      </c>
      <c r="C100" s="9" t="s">
        <v>8</v>
      </c>
      <c r="D100" s="9"/>
      <c r="E100" s="9" t="s">
        <v>87</v>
      </c>
      <c r="F100" s="9" t="s">
        <v>15</v>
      </c>
      <c r="G100" s="9" t="s">
        <v>88</v>
      </c>
    </row>
    <row r="101" spans="1:11" x14ac:dyDescent="0.25">
      <c r="A101" t="s">
        <v>195</v>
      </c>
      <c r="B101" s="16">
        <f>params!E9</f>
        <v>0.68783069444444445</v>
      </c>
      <c r="C101" s="9" t="s">
        <v>20</v>
      </c>
      <c r="E101" s="9" t="s">
        <v>4</v>
      </c>
      <c r="F101" s="9" t="s">
        <v>15</v>
      </c>
      <c r="G101" s="9" t="s">
        <v>196</v>
      </c>
    </row>
    <row r="102" spans="1:11" x14ac:dyDescent="0.25">
      <c r="A102" t="s">
        <v>101</v>
      </c>
      <c r="B102" s="16">
        <f>params!E16</f>
        <v>0.1197</v>
      </c>
      <c r="C102" s="9" t="s">
        <v>8</v>
      </c>
      <c r="E102" s="9" t="s">
        <v>17</v>
      </c>
      <c r="F102" s="9" t="s">
        <v>15</v>
      </c>
      <c r="G102" t="s">
        <v>102</v>
      </c>
    </row>
    <row r="103" spans="1:11" x14ac:dyDescent="0.25">
      <c r="A103" t="s">
        <v>103</v>
      </c>
      <c r="B103" s="15">
        <f>params!E15</f>
        <v>0.32829999999999998</v>
      </c>
      <c r="C103" s="9" t="s">
        <v>8</v>
      </c>
      <c r="E103" s="9" t="s">
        <v>17</v>
      </c>
      <c r="F103" s="9" t="s">
        <v>15</v>
      </c>
      <c r="G103" t="s">
        <v>104</v>
      </c>
    </row>
    <row r="104" spans="1:11" x14ac:dyDescent="0.25">
      <c r="A104" t="s">
        <v>105</v>
      </c>
      <c r="B104" s="15">
        <f>params!E18</f>
        <v>1.435E-2</v>
      </c>
      <c r="C104" s="9" t="s">
        <v>8</v>
      </c>
      <c r="E104" s="9" t="s">
        <v>4</v>
      </c>
      <c r="F104" s="9" t="s">
        <v>15</v>
      </c>
      <c r="G104" t="s">
        <v>106</v>
      </c>
    </row>
    <row r="105" spans="1:11" x14ac:dyDescent="0.25">
      <c r="A105" t="s">
        <v>44</v>
      </c>
      <c r="B105" s="15">
        <f>params!E17</f>
        <v>1.435E-2</v>
      </c>
      <c r="C105" s="9" t="s">
        <v>8</v>
      </c>
      <c r="E105" s="9" t="s">
        <v>4</v>
      </c>
      <c r="F105" s="9" t="s">
        <v>15</v>
      </c>
      <c r="G105" t="s">
        <v>45</v>
      </c>
    </row>
    <row r="106" spans="1:11" x14ac:dyDescent="0.25">
      <c r="A106" t="s">
        <v>107</v>
      </c>
      <c r="B106" s="15">
        <f>params!E14</f>
        <v>0.25234999999999996</v>
      </c>
      <c r="C106" s="9" t="s">
        <v>8</v>
      </c>
      <c r="E106" s="9" t="s">
        <v>4</v>
      </c>
      <c r="F106" s="9" t="s">
        <v>15</v>
      </c>
      <c r="G106" t="s">
        <v>108</v>
      </c>
    </row>
    <row r="107" spans="1:11" x14ac:dyDescent="0.25">
      <c r="A107" t="s">
        <v>109</v>
      </c>
      <c r="B107" s="16">
        <v>2.7</v>
      </c>
      <c r="C107" s="9" t="s">
        <v>22</v>
      </c>
      <c r="E107" s="9" t="s">
        <v>4</v>
      </c>
      <c r="F107" s="9" t="s">
        <v>15</v>
      </c>
      <c r="G107" t="s">
        <v>24</v>
      </c>
    </row>
    <row r="108" spans="1:11" x14ac:dyDescent="0.25">
      <c r="A108" t="s">
        <v>110</v>
      </c>
      <c r="B108" s="15">
        <v>13</v>
      </c>
      <c r="C108" s="9" t="s">
        <v>22</v>
      </c>
      <c r="E108" s="9" t="s">
        <v>4</v>
      </c>
      <c r="F108" s="9" t="s">
        <v>15</v>
      </c>
      <c r="G108" t="s">
        <v>111</v>
      </c>
    </row>
    <row r="109" spans="1:11" x14ac:dyDescent="0.25">
      <c r="A109" t="s">
        <v>95</v>
      </c>
      <c r="B109" s="15">
        <f>params!E12/1000</f>
        <v>1.1920035329999999E-2</v>
      </c>
      <c r="C109" s="9" t="s">
        <v>42</v>
      </c>
      <c r="D109" s="9" t="s">
        <v>91</v>
      </c>
      <c r="F109" s="9" t="s">
        <v>40</v>
      </c>
    </row>
    <row r="110" spans="1:11" x14ac:dyDescent="0.25">
      <c r="A110" t="s">
        <v>73</v>
      </c>
      <c r="B110" s="15">
        <f>params!E28</f>
        <v>2.3012499999999999E-3</v>
      </c>
      <c r="C110" s="9" t="s">
        <v>8</v>
      </c>
      <c r="D110" t="s">
        <v>39</v>
      </c>
      <c r="F110" s="9" t="s">
        <v>40</v>
      </c>
    </row>
    <row r="111" spans="1:11" x14ac:dyDescent="0.25">
      <c r="A111" t="s">
        <v>112</v>
      </c>
      <c r="B111" s="15">
        <v>-22</v>
      </c>
      <c r="C111" s="9" t="s">
        <v>8</v>
      </c>
      <c r="E111" s="9" t="s">
        <v>4</v>
      </c>
      <c r="F111" s="9" t="s">
        <v>15</v>
      </c>
      <c r="G111" t="s">
        <v>85</v>
      </c>
    </row>
    <row r="112" spans="1:11" x14ac:dyDescent="0.25">
      <c r="A112" t="s">
        <v>113</v>
      </c>
      <c r="B112" s="15">
        <v>-22</v>
      </c>
      <c r="C112" s="9" t="s">
        <v>8</v>
      </c>
      <c r="E112" s="9" t="s">
        <v>114</v>
      </c>
      <c r="F112" s="9" t="s">
        <v>15</v>
      </c>
      <c r="G112" t="s">
        <v>115</v>
      </c>
    </row>
    <row r="113" spans="1:11" x14ac:dyDescent="0.25">
      <c r="B113" s="9"/>
      <c r="C113" s="9"/>
      <c r="E113" s="9"/>
      <c r="F113" s="9"/>
    </row>
    <row r="114" spans="1:11" ht="15.75" x14ac:dyDescent="0.25">
      <c r="A114" s="8" t="s">
        <v>0</v>
      </c>
      <c r="B114" s="8" t="s">
        <v>116</v>
      </c>
      <c r="C114" s="8"/>
      <c r="D114" s="9"/>
      <c r="E114" s="9"/>
      <c r="F114" s="9"/>
      <c r="G114" s="9"/>
      <c r="H114" s="9"/>
      <c r="I114" s="9"/>
      <c r="J114" s="9"/>
      <c r="K114" s="9"/>
    </row>
    <row r="115" spans="1:11" x14ac:dyDescent="0.25">
      <c r="A115" s="9" t="s">
        <v>3</v>
      </c>
      <c r="B115" s="9" t="s">
        <v>87</v>
      </c>
      <c r="C115" s="9"/>
      <c r="D115" s="9"/>
      <c r="E115" s="9"/>
      <c r="F115" s="9"/>
      <c r="G115" s="9"/>
      <c r="H115" s="9"/>
      <c r="I115" s="9"/>
      <c r="J115" s="9"/>
      <c r="K115" s="9"/>
    </row>
    <row r="116" spans="1:11" x14ac:dyDescent="0.25">
      <c r="A116" s="9" t="s">
        <v>5</v>
      </c>
      <c r="B116" s="9">
        <v>1</v>
      </c>
      <c r="C116" s="9"/>
      <c r="D116" s="9"/>
      <c r="E116" s="9"/>
      <c r="F116" s="9"/>
      <c r="G116" s="9"/>
      <c r="H116" s="9"/>
      <c r="I116" s="9"/>
      <c r="J116" s="9"/>
      <c r="K116" s="9"/>
    </row>
    <row r="117" spans="1:11" x14ac:dyDescent="0.25">
      <c r="A117" s="9" t="s">
        <v>6</v>
      </c>
      <c r="B117" s="9" t="s">
        <v>63</v>
      </c>
      <c r="C117" s="9"/>
      <c r="D117" s="9"/>
      <c r="E117" s="9"/>
      <c r="F117" s="9"/>
      <c r="G117" s="9"/>
      <c r="H117" s="9"/>
      <c r="I117" s="9"/>
      <c r="J117" s="9"/>
      <c r="K117" s="9"/>
    </row>
    <row r="118" spans="1:11" x14ac:dyDescent="0.25">
      <c r="A118" s="9" t="s">
        <v>7</v>
      </c>
      <c r="B118" s="9" t="s">
        <v>8</v>
      </c>
      <c r="C118" s="9"/>
      <c r="D118" s="9"/>
      <c r="E118" s="9"/>
      <c r="F118" s="9"/>
      <c r="G118" s="9"/>
      <c r="H118" s="9"/>
      <c r="I118" s="9"/>
      <c r="J118" s="9"/>
      <c r="K118" s="9"/>
    </row>
    <row r="119" spans="1:11" x14ac:dyDescent="0.25">
      <c r="A119" s="9" t="s">
        <v>1</v>
      </c>
      <c r="B119" s="9" t="s">
        <v>117</v>
      </c>
      <c r="C119" s="9"/>
      <c r="D119" s="9"/>
      <c r="E119" s="9"/>
      <c r="F119" s="9"/>
      <c r="G119" s="9"/>
      <c r="H119" s="9"/>
      <c r="I119" s="9"/>
      <c r="J119" s="9"/>
      <c r="K119" s="9"/>
    </row>
    <row r="120" spans="1:11" x14ac:dyDescent="0.25">
      <c r="A120" s="9" t="s">
        <v>175</v>
      </c>
      <c r="B120" s="30">
        <v>0.31</v>
      </c>
      <c r="C120" s="9"/>
      <c r="D120" s="9"/>
      <c r="E120" s="9"/>
      <c r="F120" s="9"/>
      <c r="G120" s="9"/>
      <c r="H120" s="9"/>
      <c r="I120" s="9"/>
      <c r="J120" s="9"/>
      <c r="K120" s="9"/>
    </row>
    <row r="121" spans="1:11" x14ac:dyDescent="0.25">
      <c r="A121" s="10" t="s">
        <v>10</v>
      </c>
      <c r="B121" s="9"/>
      <c r="C121" s="9"/>
      <c r="D121" s="9"/>
      <c r="E121" s="9"/>
      <c r="F121" s="9"/>
      <c r="G121" s="9"/>
      <c r="H121" s="9"/>
      <c r="I121" s="9"/>
      <c r="J121" s="9"/>
      <c r="K121" s="9"/>
    </row>
    <row r="122" spans="1:11" x14ac:dyDescent="0.25">
      <c r="A122" s="9" t="s">
        <v>11</v>
      </c>
      <c r="B122" s="9" t="s">
        <v>12</v>
      </c>
      <c r="C122" s="9" t="s">
        <v>7</v>
      </c>
      <c r="D122" s="9" t="s">
        <v>36</v>
      </c>
      <c r="E122" s="9" t="s">
        <v>3</v>
      </c>
      <c r="F122" s="9" t="s">
        <v>13</v>
      </c>
      <c r="G122" s="9" t="s">
        <v>6</v>
      </c>
      <c r="H122" s="9"/>
      <c r="I122" s="9"/>
      <c r="J122" s="9"/>
      <c r="K122" s="9"/>
    </row>
    <row r="123" spans="1:11" x14ac:dyDescent="0.25">
      <c r="A123" s="9" t="s">
        <v>116</v>
      </c>
      <c r="B123" s="9">
        <v>1</v>
      </c>
      <c r="C123" s="9" t="s">
        <v>8</v>
      </c>
      <c r="D123" s="9"/>
      <c r="E123" s="9" t="s">
        <v>87</v>
      </c>
      <c r="F123" s="9" t="s">
        <v>14</v>
      </c>
      <c r="G123" s="9" t="s">
        <v>63</v>
      </c>
      <c r="H123" s="9"/>
      <c r="I123" s="9"/>
      <c r="J123" s="9"/>
      <c r="K123" s="9"/>
    </row>
    <row r="124" spans="1:11" x14ac:dyDescent="0.25">
      <c r="A124" s="9" t="s">
        <v>198</v>
      </c>
      <c r="B124" s="57">
        <f>1*params!M31</f>
        <v>74</v>
      </c>
      <c r="C124" s="9" t="s">
        <v>8</v>
      </c>
      <c r="D124" s="9"/>
      <c r="E124" s="9" t="s">
        <v>4</v>
      </c>
      <c r="F124" s="9" t="s">
        <v>15</v>
      </c>
      <c r="G124" s="9" t="s">
        <v>88</v>
      </c>
      <c r="H124" s="9"/>
      <c r="I124" s="9"/>
      <c r="J124" s="9"/>
      <c r="K124" s="9"/>
    </row>
    <row r="125" spans="1:11" x14ac:dyDescent="0.25">
      <c r="A125" t="s">
        <v>195</v>
      </c>
      <c r="B125" s="15">
        <f>params!G9</f>
        <v>3.0086695138888886</v>
      </c>
      <c r="C125" s="9" t="s">
        <v>20</v>
      </c>
      <c r="E125" s="9" t="s">
        <v>4</v>
      </c>
      <c r="F125" s="9" t="s">
        <v>15</v>
      </c>
      <c r="G125" s="9" t="s">
        <v>196</v>
      </c>
    </row>
    <row r="126" spans="1:11" x14ac:dyDescent="0.25">
      <c r="A126" t="s">
        <v>101</v>
      </c>
      <c r="B126" s="16">
        <f>params!G16</f>
        <v>0.52289999999999992</v>
      </c>
      <c r="C126" s="9" t="s">
        <v>8</v>
      </c>
      <c r="E126" s="9" t="s">
        <v>17</v>
      </c>
      <c r="F126" s="9" t="s">
        <v>15</v>
      </c>
      <c r="G126" t="s">
        <v>102</v>
      </c>
    </row>
    <row r="127" spans="1:11" x14ac:dyDescent="0.25">
      <c r="A127" t="s">
        <v>103</v>
      </c>
      <c r="B127" s="15">
        <f>params!G15</f>
        <v>1.4357</v>
      </c>
      <c r="C127" s="9" t="s">
        <v>8</v>
      </c>
      <c r="E127" s="9" t="s">
        <v>17</v>
      </c>
      <c r="F127" s="9" t="s">
        <v>15</v>
      </c>
      <c r="G127" t="s">
        <v>104</v>
      </c>
    </row>
    <row r="128" spans="1:11" x14ac:dyDescent="0.25">
      <c r="A128" t="s">
        <v>105</v>
      </c>
      <c r="B128" s="15">
        <f>params!G18</f>
        <v>0.41125</v>
      </c>
      <c r="C128" s="9" t="s">
        <v>8</v>
      </c>
      <c r="E128" s="9" t="s">
        <v>4</v>
      </c>
      <c r="F128" s="9" t="s">
        <v>15</v>
      </c>
      <c r="G128" t="s">
        <v>106</v>
      </c>
    </row>
    <row r="129" spans="1:7" x14ac:dyDescent="0.25">
      <c r="A129" t="s">
        <v>44</v>
      </c>
      <c r="B129" s="15">
        <f>params!G17</f>
        <v>6.3E-2</v>
      </c>
      <c r="C129" s="9" t="s">
        <v>8</v>
      </c>
      <c r="E129" s="9" t="s">
        <v>4</v>
      </c>
      <c r="F129" s="9" t="s">
        <v>15</v>
      </c>
      <c r="G129" t="s">
        <v>45</v>
      </c>
    </row>
    <row r="130" spans="1:7" x14ac:dyDescent="0.25">
      <c r="A130" t="s">
        <v>107</v>
      </c>
      <c r="B130" s="15">
        <f>params!G14</f>
        <v>1.10355</v>
      </c>
      <c r="C130" s="9" t="s">
        <v>8</v>
      </c>
      <c r="E130" s="9" t="s">
        <v>4</v>
      </c>
      <c r="F130" s="9" t="s">
        <v>15</v>
      </c>
      <c r="G130" t="s">
        <v>108</v>
      </c>
    </row>
    <row r="131" spans="1:7" x14ac:dyDescent="0.25">
      <c r="A131" t="s">
        <v>109</v>
      </c>
      <c r="B131" s="16">
        <v>2.7</v>
      </c>
      <c r="C131" s="9" t="s">
        <v>22</v>
      </c>
      <c r="E131" s="9" t="s">
        <v>4</v>
      </c>
      <c r="F131" s="9" t="s">
        <v>15</v>
      </c>
      <c r="G131" t="s">
        <v>24</v>
      </c>
    </row>
    <row r="132" spans="1:7" x14ac:dyDescent="0.25">
      <c r="A132" t="s">
        <v>110</v>
      </c>
      <c r="B132" s="15">
        <v>13</v>
      </c>
      <c r="C132" s="9" t="s">
        <v>22</v>
      </c>
      <c r="E132" s="9" t="s">
        <v>4</v>
      </c>
      <c r="F132" s="9" t="s">
        <v>15</v>
      </c>
      <c r="G132" t="s">
        <v>111</v>
      </c>
    </row>
    <row r="133" spans="1:7" x14ac:dyDescent="0.25">
      <c r="A133" t="s">
        <v>95</v>
      </c>
      <c r="B133" s="15">
        <f>params!G12/1000</f>
        <v>5.2141045950000006E-2</v>
      </c>
      <c r="C133" s="9" t="s">
        <v>42</v>
      </c>
      <c r="D133" s="9" t="s">
        <v>91</v>
      </c>
      <c r="F133" s="9" t="s">
        <v>40</v>
      </c>
    </row>
    <row r="134" spans="1:7" x14ac:dyDescent="0.25">
      <c r="A134" t="s">
        <v>73</v>
      </c>
      <c r="B134" s="15">
        <f>params!G28</f>
        <v>1.0066E-2</v>
      </c>
      <c r="C134" s="9" t="s">
        <v>8</v>
      </c>
      <c r="D134" t="s">
        <v>39</v>
      </c>
      <c r="F134" s="9" t="s">
        <v>40</v>
      </c>
    </row>
    <row r="135" spans="1:7" x14ac:dyDescent="0.25">
      <c r="A135" t="s">
        <v>112</v>
      </c>
      <c r="B135" s="15">
        <v>-22</v>
      </c>
      <c r="C135" s="9" t="s">
        <v>8</v>
      </c>
      <c r="E135" s="9" t="s">
        <v>4</v>
      </c>
      <c r="F135" s="9" t="s">
        <v>15</v>
      </c>
      <c r="G135" t="s">
        <v>85</v>
      </c>
    </row>
    <row r="136" spans="1:7" x14ac:dyDescent="0.25">
      <c r="A136" t="s">
        <v>113</v>
      </c>
      <c r="B136" s="15">
        <v>-22</v>
      </c>
      <c r="C136" s="9" t="s">
        <v>8</v>
      </c>
      <c r="E136" s="9" t="s">
        <v>114</v>
      </c>
      <c r="F136" s="9" t="s">
        <v>15</v>
      </c>
      <c r="G136" t="s">
        <v>115</v>
      </c>
    </row>
    <row r="137" spans="1:7" x14ac:dyDescent="0.25">
      <c r="B137" s="9"/>
      <c r="C137" s="9"/>
      <c r="E137" s="9"/>
      <c r="F137" s="9"/>
    </row>
    <row r="138" spans="1:7" x14ac:dyDescent="0.25">
      <c r="A138" s="54" t="s">
        <v>0</v>
      </c>
      <c r="B138" s="54" t="s">
        <v>198</v>
      </c>
      <c r="C138" s="55"/>
      <c r="D138" s="55"/>
      <c r="E138" s="55"/>
      <c r="F138" s="55"/>
      <c r="G138" s="55"/>
    </row>
    <row r="139" spans="1:7" x14ac:dyDescent="0.25">
      <c r="A139" s="55" t="s">
        <v>6</v>
      </c>
      <c r="B139" s="9" t="s">
        <v>88</v>
      </c>
      <c r="C139" s="55"/>
      <c r="D139" s="55"/>
      <c r="E139" s="55"/>
      <c r="F139" s="55"/>
      <c r="G139" s="55"/>
    </row>
    <row r="140" spans="1:7" x14ac:dyDescent="0.25">
      <c r="A140" s="55" t="s">
        <v>3</v>
      </c>
      <c r="B140" s="55" t="s">
        <v>4</v>
      </c>
      <c r="C140" s="55"/>
      <c r="D140" s="55"/>
      <c r="E140" s="55"/>
      <c r="F140" s="55"/>
      <c r="G140" s="55"/>
    </row>
    <row r="141" spans="1:7" x14ac:dyDescent="0.25">
      <c r="A141" s="9" t="s">
        <v>5</v>
      </c>
      <c r="B141" s="55">
        <v>1</v>
      </c>
      <c r="C141" s="55"/>
      <c r="D141" s="55"/>
      <c r="E141" s="55"/>
      <c r="F141" s="55"/>
      <c r="G141" s="55"/>
    </row>
    <row r="142" spans="1:7" x14ac:dyDescent="0.25">
      <c r="A142" s="55" t="s">
        <v>7</v>
      </c>
      <c r="B142" s="55" t="s">
        <v>8</v>
      </c>
      <c r="C142" s="55"/>
      <c r="D142" s="55"/>
      <c r="E142" s="55"/>
      <c r="F142" s="55"/>
      <c r="G142" s="55"/>
    </row>
    <row r="143" spans="1:7" x14ac:dyDescent="0.25">
      <c r="A143" s="55" t="s">
        <v>1</v>
      </c>
      <c r="B143" s="56" t="s">
        <v>199</v>
      </c>
      <c r="C143" s="55"/>
      <c r="D143" s="55"/>
      <c r="E143" s="55"/>
      <c r="F143" s="55"/>
      <c r="G143" s="55"/>
    </row>
    <row r="144" spans="1:7" x14ac:dyDescent="0.25">
      <c r="A144" s="54" t="s">
        <v>10</v>
      </c>
      <c r="B144" s="55"/>
      <c r="C144" s="55"/>
      <c r="D144" s="55"/>
      <c r="E144" s="55"/>
      <c r="F144" s="55"/>
      <c r="G144" s="55"/>
    </row>
    <row r="145" spans="1:14" x14ac:dyDescent="0.25">
      <c r="A145" s="54" t="s">
        <v>11</v>
      </c>
      <c r="B145" s="9" t="s">
        <v>12</v>
      </c>
      <c r="C145" s="9" t="s">
        <v>7</v>
      </c>
      <c r="D145" s="9" t="s">
        <v>36</v>
      </c>
      <c r="E145" s="9" t="s">
        <v>3</v>
      </c>
      <c r="F145" s="9" t="s">
        <v>13</v>
      </c>
      <c r="G145" s="9" t="s">
        <v>6</v>
      </c>
      <c r="J145" s="54"/>
      <c r="K145" s="54"/>
      <c r="L145" s="54"/>
      <c r="M145" s="54"/>
      <c r="N145" s="54"/>
    </row>
    <row r="146" spans="1:14" x14ac:dyDescent="0.25">
      <c r="A146" s="55" t="s">
        <v>198</v>
      </c>
      <c r="B146">
        <v>1</v>
      </c>
      <c r="C146" t="s">
        <v>8</v>
      </c>
      <c r="E146" t="s">
        <v>4</v>
      </c>
      <c r="F146" t="s">
        <v>14</v>
      </c>
      <c r="G146" s="9" t="s">
        <v>88</v>
      </c>
      <c r="J146" s="9"/>
      <c r="K146" s="55"/>
      <c r="L146" s="55"/>
      <c r="M146" s="55"/>
      <c r="N146" s="55"/>
    </row>
    <row r="147" spans="1:14" x14ac:dyDescent="0.25">
      <c r="A147" s="9" t="s">
        <v>86</v>
      </c>
      <c r="B147">
        <v>0.2</v>
      </c>
      <c r="C147" t="s">
        <v>8</v>
      </c>
      <c r="E147" t="s">
        <v>87</v>
      </c>
      <c r="F147" s="9" t="s">
        <v>15</v>
      </c>
      <c r="G147" s="9" t="s">
        <v>88</v>
      </c>
      <c r="J147" s="9"/>
      <c r="K147" s="9"/>
      <c r="L147" s="15"/>
      <c r="M147" s="9"/>
      <c r="N147" s="9"/>
    </row>
    <row r="148" spans="1:14" x14ac:dyDescent="0.25">
      <c r="A148" s="9" t="s">
        <v>93</v>
      </c>
      <c r="B148">
        <v>0.8</v>
      </c>
      <c r="C148" t="s">
        <v>8</v>
      </c>
      <c r="E148" t="s">
        <v>87</v>
      </c>
      <c r="F148" s="9" t="s">
        <v>15</v>
      </c>
      <c r="G148" s="9" t="s">
        <v>88</v>
      </c>
      <c r="J148" s="9"/>
      <c r="K148" s="9"/>
      <c r="L148" s="15"/>
      <c r="M148" s="9"/>
      <c r="N148" s="9"/>
    </row>
    <row r="149" spans="1:14" x14ac:dyDescent="0.25">
      <c r="B149" s="9"/>
      <c r="C149" s="9"/>
      <c r="E149" s="9"/>
      <c r="F149" s="9"/>
    </row>
    <row r="150" spans="1:14" x14ac:dyDescent="0.25">
      <c r="B150" s="9"/>
      <c r="C150" s="9"/>
      <c r="E150" s="9"/>
      <c r="F150" s="9"/>
    </row>
    <row r="151" spans="1:14" ht="15.75" x14ac:dyDescent="0.25">
      <c r="A151" s="1" t="s">
        <v>0</v>
      </c>
      <c r="B151" s="8" t="s">
        <v>185</v>
      </c>
    </row>
    <row r="152" spans="1:14" x14ac:dyDescent="0.25">
      <c r="A152" t="s">
        <v>1</v>
      </c>
      <c r="B152" t="s">
        <v>2</v>
      </c>
    </row>
    <row r="153" spans="1:14" x14ac:dyDescent="0.25">
      <c r="A153" t="s">
        <v>3</v>
      </c>
      <c r="B153" t="s">
        <v>43</v>
      </c>
    </row>
    <row r="154" spans="1:14" x14ac:dyDescent="0.25">
      <c r="A154" t="s">
        <v>5</v>
      </c>
      <c r="B154">
        <v>1</v>
      </c>
    </row>
    <row r="155" spans="1:14" x14ac:dyDescent="0.25">
      <c r="A155" t="s">
        <v>6</v>
      </c>
      <c r="B155" t="s">
        <v>46</v>
      </c>
    </row>
    <row r="156" spans="1:14" x14ac:dyDescent="0.25">
      <c r="A156" t="s">
        <v>7</v>
      </c>
      <c r="B156" t="s">
        <v>8</v>
      </c>
    </row>
    <row r="157" spans="1:14" x14ac:dyDescent="0.25">
      <c r="A157" t="s">
        <v>9</v>
      </c>
      <c r="B157" t="s">
        <v>118</v>
      </c>
    </row>
    <row r="158" spans="1:14" x14ac:dyDescent="0.25">
      <c r="A158" t="s">
        <v>119</v>
      </c>
      <c r="B158">
        <v>0.38</v>
      </c>
    </row>
    <row r="159" spans="1:14" x14ac:dyDescent="0.25">
      <c r="A159" s="3" t="s">
        <v>10</v>
      </c>
    </row>
    <row r="160" spans="1:14" x14ac:dyDescent="0.25">
      <c r="A160" t="s">
        <v>11</v>
      </c>
      <c r="B160" t="s">
        <v>12</v>
      </c>
      <c r="C160" t="s">
        <v>7</v>
      </c>
      <c r="D160" t="s">
        <v>36</v>
      </c>
      <c r="E160" t="s">
        <v>3</v>
      </c>
      <c r="F160" t="s">
        <v>13</v>
      </c>
      <c r="G160" t="s">
        <v>6</v>
      </c>
    </row>
    <row r="161" spans="1:7" x14ac:dyDescent="0.25">
      <c r="A161" t="s">
        <v>185</v>
      </c>
      <c r="B161">
        <v>1</v>
      </c>
      <c r="C161" t="s">
        <v>8</v>
      </c>
      <c r="E161" t="s">
        <v>43</v>
      </c>
      <c r="F161" t="s">
        <v>14</v>
      </c>
      <c r="G161" t="s">
        <v>46</v>
      </c>
    </row>
    <row r="162" spans="1:7" x14ac:dyDescent="0.25">
      <c r="A162" t="s">
        <v>99</v>
      </c>
      <c r="B162" s="16">
        <f>2.86*B158</f>
        <v>1.0868</v>
      </c>
      <c r="C162" t="s">
        <v>8</v>
      </c>
      <c r="E162" t="s">
        <v>87</v>
      </c>
      <c r="F162" t="s">
        <v>15</v>
      </c>
      <c r="G162" t="s">
        <v>63</v>
      </c>
    </row>
    <row r="163" spans="1:7" x14ac:dyDescent="0.25">
      <c r="A163" t="s">
        <v>120</v>
      </c>
      <c r="B163" s="16">
        <f>params!$H$10</f>
        <v>10.759354200000001</v>
      </c>
      <c r="C163" t="s">
        <v>31</v>
      </c>
      <c r="E163" t="s">
        <v>17</v>
      </c>
      <c r="F163" t="s">
        <v>15</v>
      </c>
      <c r="G163" t="s">
        <v>80</v>
      </c>
    </row>
    <row r="164" spans="1:7" x14ac:dyDescent="0.25">
      <c r="A164" t="s">
        <v>19</v>
      </c>
      <c r="B164" s="16">
        <f>params!$H$9</f>
        <v>1.1514738888888889</v>
      </c>
      <c r="C164" t="s">
        <v>20</v>
      </c>
      <c r="E164" t="s">
        <v>43</v>
      </c>
      <c r="F164" t="s">
        <v>15</v>
      </c>
      <c r="G164" t="s">
        <v>21</v>
      </c>
    </row>
    <row r="165" spans="1:7" x14ac:dyDescent="0.25">
      <c r="A165" t="s">
        <v>16</v>
      </c>
      <c r="B165" s="16">
        <f>params!$H$12</f>
        <v>18.832213584000002</v>
      </c>
      <c r="C165" t="s">
        <v>8</v>
      </c>
      <c r="E165" t="s">
        <v>17</v>
      </c>
      <c r="F165" t="s">
        <v>15</v>
      </c>
      <c r="G165" t="s">
        <v>18</v>
      </c>
    </row>
    <row r="166" spans="1:7" x14ac:dyDescent="0.25">
      <c r="A166" t="s">
        <v>44</v>
      </c>
      <c r="B166" s="16">
        <f>params!$H$17</f>
        <v>1.0392999999999999</v>
      </c>
      <c r="C166" t="s">
        <v>8</v>
      </c>
      <c r="E166" t="s">
        <v>4</v>
      </c>
      <c r="F166" t="s">
        <v>15</v>
      </c>
      <c r="G166" t="s">
        <v>45</v>
      </c>
    </row>
    <row r="167" spans="1:7" x14ac:dyDescent="0.25">
      <c r="A167" t="s">
        <v>52</v>
      </c>
      <c r="B167" s="16">
        <f>params!$H$19</f>
        <v>0.97659999999999991</v>
      </c>
      <c r="C167" t="s">
        <v>8</v>
      </c>
      <c r="E167" t="s">
        <v>17</v>
      </c>
      <c r="F167" t="s">
        <v>15</v>
      </c>
      <c r="G167" t="s">
        <v>53</v>
      </c>
    </row>
    <row r="168" spans="1:7" x14ac:dyDescent="0.25">
      <c r="A168" t="s">
        <v>58</v>
      </c>
      <c r="B168" s="16">
        <f>params!$H$20</f>
        <v>0.53542000000000001</v>
      </c>
      <c r="C168" t="s">
        <v>8</v>
      </c>
      <c r="E168" t="s">
        <v>17</v>
      </c>
      <c r="F168" t="s">
        <v>15</v>
      </c>
      <c r="G168" t="s">
        <v>59</v>
      </c>
    </row>
    <row r="169" spans="1:7" x14ac:dyDescent="0.25">
      <c r="A169" t="s">
        <v>56</v>
      </c>
      <c r="B169" s="16">
        <f>params!$H$15</f>
        <v>2.128E-2</v>
      </c>
      <c r="C169" t="s">
        <v>8</v>
      </c>
      <c r="E169" t="s">
        <v>17</v>
      </c>
      <c r="F169" t="s">
        <v>15</v>
      </c>
      <c r="G169" t="s">
        <v>57</v>
      </c>
    </row>
    <row r="170" spans="1:7" x14ac:dyDescent="0.25">
      <c r="A170" t="s">
        <v>83</v>
      </c>
      <c r="B170" s="16">
        <f>params!$H$16</f>
        <v>8.3599999999999994E-3</v>
      </c>
      <c r="C170" t="s">
        <v>8</v>
      </c>
      <c r="E170" t="s">
        <v>17</v>
      </c>
      <c r="F170" t="s">
        <v>15</v>
      </c>
      <c r="G170" t="s">
        <v>84</v>
      </c>
    </row>
    <row r="171" spans="1:7" x14ac:dyDescent="0.25">
      <c r="A171" t="s">
        <v>60</v>
      </c>
      <c r="B171" s="16">
        <f>params!$H$21</f>
        <v>1.7860000000000001E-2</v>
      </c>
      <c r="C171" t="s">
        <v>8</v>
      </c>
      <c r="E171" t="s">
        <v>17</v>
      </c>
      <c r="F171" t="s">
        <v>15</v>
      </c>
      <c r="G171" t="s">
        <v>61</v>
      </c>
    </row>
    <row r="172" spans="1:7" x14ac:dyDescent="0.25">
      <c r="A172" t="s">
        <v>62</v>
      </c>
      <c r="B172" s="16">
        <f>params!$H$22</f>
        <v>3.04E-2</v>
      </c>
      <c r="C172" t="s">
        <v>8</v>
      </c>
      <c r="E172" t="s">
        <v>4</v>
      </c>
      <c r="F172" t="s">
        <v>15</v>
      </c>
      <c r="G172" t="s">
        <v>62</v>
      </c>
    </row>
    <row r="173" spans="1:7" x14ac:dyDescent="0.25">
      <c r="A173" t="s">
        <v>121</v>
      </c>
      <c r="B173" s="16">
        <f>params!$H$23</f>
        <v>0.21811999999999998</v>
      </c>
      <c r="C173" t="s">
        <v>8</v>
      </c>
      <c r="E173" t="s">
        <v>17</v>
      </c>
      <c r="F173" t="s">
        <v>15</v>
      </c>
      <c r="G173" t="s">
        <v>122</v>
      </c>
    </row>
    <row r="174" spans="1:7" x14ac:dyDescent="0.25">
      <c r="A174" t="s">
        <v>123</v>
      </c>
      <c r="B174" s="16">
        <f>params!$H$24</f>
        <v>3.3439999999999998E-2</v>
      </c>
      <c r="C174" t="s">
        <v>8</v>
      </c>
      <c r="E174" t="s">
        <v>4</v>
      </c>
      <c r="F174" t="s">
        <v>15</v>
      </c>
      <c r="G174" t="s">
        <v>124</v>
      </c>
    </row>
    <row r="175" spans="1:7" x14ac:dyDescent="0.25">
      <c r="A175" t="s">
        <v>35</v>
      </c>
      <c r="B175" s="16">
        <v>3.2859232000000002E-2</v>
      </c>
      <c r="C175" t="s">
        <v>22</v>
      </c>
      <c r="E175" t="s">
        <v>17</v>
      </c>
      <c r="F175" t="s">
        <v>15</v>
      </c>
      <c r="G175" t="s">
        <v>26</v>
      </c>
    </row>
    <row r="176" spans="1:7" x14ac:dyDescent="0.25">
      <c r="A176" t="s">
        <v>37</v>
      </c>
      <c r="B176" s="16">
        <v>2.6585139999999998E-3</v>
      </c>
      <c r="C176" t="s">
        <v>22</v>
      </c>
      <c r="E176" t="s">
        <v>17</v>
      </c>
      <c r="F176" t="s">
        <v>15</v>
      </c>
      <c r="G176" t="s">
        <v>38</v>
      </c>
    </row>
    <row r="177" spans="1:7" x14ac:dyDescent="0.25">
      <c r="A177" t="s">
        <v>23</v>
      </c>
      <c r="B177" s="16">
        <v>2.2225175999999999E-2</v>
      </c>
      <c r="C177" t="s">
        <v>22</v>
      </c>
      <c r="E177" t="s">
        <v>17</v>
      </c>
      <c r="F177" t="s">
        <v>15</v>
      </c>
      <c r="G177" t="s">
        <v>24</v>
      </c>
    </row>
    <row r="178" spans="1:7" x14ac:dyDescent="0.25">
      <c r="A178" t="s">
        <v>27</v>
      </c>
      <c r="B178" s="16">
        <v>6.3697992999999994E-2</v>
      </c>
      <c r="C178" t="s">
        <v>22</v>
      </c>
      <c r="E178" t="s">
        <v>4</v>
      </c>
      <c r="F178" t="s">
        <v>15</v>
      </c>
      <c r="G178" t="s">
        <v>28</v>
      </c>
    </row>
    <row r="179" spans="1:7" x14ac:dyDescent="0.25">
      <c r="A179" t="s">
        <v>54</v>
      </c>
      <c r="B179" s="16">
        <v>-1.0035100616353101</v>
      </c>
      <c r="C179" t="s">
        <v>8</v>
      </c>
      <c r="E179" t="s">
        <v>17</v>
      </c>
      <c r="F179" t="s">
        <v>15</v>
      </c>
      <c r="G179" t="s">
        <v>55</v>
      </c>
    </row>
    <row r="180" spans="1:7" x14ac:dyDescent="0.25">
      <c r="A180" t="s">
        <v>47</v>
      </c>
      <c r="B180" s="16">
        <v>-1.88412598664482E-2</v>
      </c>
      <c r="C180" t="s">
        <v>42</v>
      </c>
      <c r="E180" t="s">
        <v>17</v>
      </c>
      <c r="F180" t="s">
        <v>15</v>
      </c>
      <c r="G180" t="s">
        <v>48</v>
      </c>
    </row>
    <row r="181" spans="1:7" x14ac:dyDescent="0.25">
      <c r="A181" t="s">
        <v>33</v>
      </c>
      <c r="B181" s="16">
        <v>4.0000000000000001E-10</v>
      </c>
      <c r="C181" t="s">
        <v>7</v>
      </c>
      <c r="E181" t="s">
        <v>4</v>
      </c>
      <c r="F181" t="s">
        <v>15</v>
      </c>
      <c r="G181" t="s">
        <v>34</v>
      </c>
    </row>
    <row r="182" spans="1:7" x14ac:dyDescent="0.25">
      <c r="A182" t="s">
        <v>49</v>
      </c>
      <c r="B182" s="16">
        <v>1.88412598664482E-2</v>
      </c>
      <c r="C182" t="s">
        <v>42</v>
      </c>
      <c r="D182" t="s">
        <v>50</v>
      </c>
      <c r="F182" t="s">
        <v>40</v>
      </c>
    </row>
    <row r="183" spans="1:7" x14ac:dyDescent="0.25">
      <c r="A183" t="s">
        <v>41</v>
      </c>
      <c r="B183" s="16">
        <v>2.3245761180933701E-4</v>
      </c>
      <c r="C183" t="s">
        <v>42</v>
      </c>
      <c r="D183" t="s">
        <v>64</v>
      </c>
      <c r="F183" t="s">
        <v>40</v>
      </c>
    </row>
    <row r="185" spans="1:7" ht="15.75" x14ac:dyDescent="0.25">
      <c r="A185" s="1" t="s">
        <v>0</v>
      </c>
      <c r="B185" s="8" t="s">
        <v>186</v>
      </c>
    </row>
    <row r="186" spans="1:7" x14ac:dyDescent="0.25">
      <c r="A186" t="s">
        <v>1</v>
      </c>
      <c r="B186" t="s">
        <v>2</v>
      </c>
    </row>
    <row r="187" spans="1:7" x14ac:dyDescent="0.25">
      <c r="A187" t="s">
        <v>3</v>
      </c>
      <c r="B187" t="s">
        <v>43</v>
      </c>
    </row>
    <row r="188" spans="1:7" x14ac:dyDescent="0.25">
      <c r="A188" t="s">
        <v>5</v>
      </c>
      <c r="B188">
        <v>1</v>
      </c>
    </row>
    <row r="189" spans="1:7" x14ac:dyDescent="0.25">
      <c r="A189" t="s">
        <v>6</v>
      </c>
      <c r="B189" t="s">
        <v>46</v>
      </c>
    </row>
    <row r="190" spans="1:7" x14ac:dyDescent="0.25">
      <c r="A190" t="s">
        <v>7</v>
      </c>
      <c r="B190" t="s">
        <v>8</v>
      </c>
    </row>
    <row r="191" spans="1:7" x14ac:dyDescent="0.25">
      <c r="A191" t="s">
        <v>9</v>
      </c>
      <c r="B191" t="s">
        <v>118</v>
      </c>
    </row>
    <row r="192" spans="1:7" x14ac:dyDescent="0.25">
      <c r="A192" t="s">
        <v>119</v>
      </c>
      <c r="B192">
        <v>0.38</v>
      </c>
    </row>
    <row r="193" spans="1:7" x14ac:dyDescent="0.25">
      <c r="A193" s="3" t="s">
        <v>10</v>
      </c>
    </row>
    <row r="194" spans="1:7" x14ac:dyDescent="0.25">
      <c r="A194" t="s">
        <v>11</v>
      </c>
      <c r="B194" t="s">
        <v>12</v>
      </c>
      <c r="C194" t="s">
        <v>7</v>
      </c>
      <c r="D194" t="s">
        <v>36</v>
      </c>
      <c r="E194" t="s">
        <v>3</v>
      </c>
      <c r="F194" t="s">
        <v>13</v>
      </c>
      <c r="G194" t="s">
        <v>6</v>
      </c>
    </row>
    <row r="195" spans="1:7" x14ac:dyDescent="0.25">
      <c r="A195" t="s">
        <v>186</v>
      </c>
      <c r="B195">
        <v>1</v>
      </c>
      <c r="C195" t="s">
        <v>8</v>
      </c>
      <c r="E195" t="s">
        <v>43</v>
      </c>
      <c r="F195" t="s">
        <v>14</v>
      </c>
      <c r="G195" t="s">
        <v>46</v>
      </c>
    </row>
    <row r="196" spans="1:7" x14ac:dyDescent="0.25">
      <c r="A196" t="s">
        <v>116</v>
      </c>
      <c r="B196" s="16">
        <f>2.86*B192</f>
        <v>1.0868</v>
      </c>
      <c r="C196" t="s">
        <v>8</v>
      </c>
      <c r="E196" t="s">
        <v>87</v>
      </c>
      <c r="F196" t="s">
        <v>15</v>
      </c>
      <c r="G196" t="s">
        <v>63</v>
      </c>
    </row>
    <row r="197" spans="1:7" x14ac:dyDescent="0.25">
      <c r="A197" t="s">
        <v>120</v>
      </c>
      <c r="B197" s="16">
        <f>params!$H$10</f>
        <v>10.759354200000001</v>
      </c>
      <c r="C197" t="s">
        <v>31</v>
      </c>
      <c r="E197" t="s">
        <v>17</v>
      </c>
      <c r="F197" t="s">
        <v>15</v>
      </c>
      <c r="G197" t="s">
        <v>80</v>
      </c>
    </row>
    <row r="198" spans="1:7" x14ac:dyDescent="0.25">
      <c r="A198" t="s">
        <v>19</v>
      </c>
      <c r="B198" s="16">
        <f>params!$H$9</f>
        <v>1.1514738888888889</v>
      </c>
      <c r="C198" t="s">
        <v>20</v>
      </c>
      <c r="E198" t="s">
        <v>43</v>
      </c>
      <c r="F198" t="s">
        <v>15</v>
      </c>
      <c r="G198" t="s">
        <v>21</v>
      </c>
    </row>
    <row r="199" spans="1:7" x14ac:dyDescent="0.25">
      <c r="A199" t="s">
        <v>16</v>
      </c>
      <c r="B199" s="16">
        <f>params!$H$12</f>
        <v>18.832213584000002</v>
      </c>
      <c r="C199" t="s">
        <v>8</v>
      </c>
      <c r="E199" t="s">
        <v>17</v>
      </c>
      <c r="F199" t="s">
        <v>15</v>
      </c>
      <c r="G199" t="s">
        <v>18</v>
      </c>
    </row>
    <row r="200" spans="1:7" x14ac:dyDescent="0.25">
      <c r="A200" t="s">
        <v>44</v>
      </c>
      <c r="B200" s="16">
        <f>params!$H$17</f>
        <v>1.0392999999999999</v>
      </c>
      <c r="C200" t="s">
        <v>8</v>
      </c>
      <c r="E200" t="s">
        <v>4</v>
      </c>
      <c r="F200" t="s">
        <v>15</v>
      </c>
      <c r="G200" t="s">
        <v>45</v>
      </c>
    </row>
    <row r="201" spans="1:7" x14ac:dyDescent="0.25">
      <c r="A201" t="s">
        <v>52</v>
      </c>
      <c r="B201" s="16">
        <f>params!$H$19</f>
        <v>0.97659999999999991</v>
      </c>
      <c r="C201" t="s">
        <v>8</v>
      </c>
      <c r="E201" t="s">
        <v>17</v>
      </c>
      <c r="F201" t="s">
        <v>15</v>
      </c>
      <c r="G201" t="s">
        <v>53</v>
      </c>
    </row>
    <row r="202" spans="1:7" x14ac:dyDescent="0.25">
      <c r="A202" t="s">
        <v>58</v>
      </c>
      <c r="B202" s="16">
        <f>params!$H$20</f>
        <v>0.53542000000000001</v>
      </c>
      <c r="C202" t="s">
        <v>8</v>
      </c>
      <c r="E202" t="s">
        <v>17</v>
      </c>
      <c r="F202" t="s">
        <v>15</v>
      </c>
      <c r="G202" t="s">
        <v>59</v>
      </c>
    </row>
    <row r="203" spans="1:7" x14ac:dyDescent="0.25">
      <c r="A203" t="s">
        <v>56</v>
      </c>
      <c r="B203" s="16">
        <f>params!$H$15</f>
        <v>2.128E-2</v>
      </c>
      <c r="C203" t="s">
        <v>8</v>
      </c>
      <c r="E203" t="s">
        <v>17</v>
      </c>
      <c r="F203" t="s">
        <v>15</v>
      </c>
      <c r="G203" t="s">
        <v>57</v>
      </c>
    </row>
    <row r="204" spans="1:7" x14ac:dyDescent="0.25">
      <c r="A204" t="s">
        <v>83</v>
      </c>
      <c r="B204" s="16">
        <f>params!$H$16</f>
        <v>8.3599999999999994E-3</v>
      </c>
      <c r="C204" t="s">
        <v>8</v>
      </c>
      <c r="E204" t="s">
        <v>17</v>
      </c>
      <c r="F204" t="s">
        <v>15</v>
      </c>
      <c r="G204" t="s">
        <v>84</v>
      </c>
    </row>
    <row r="205" spans="1:7" x14ac:dyDescent="0.25">
      <c r="A205" t="s">
        <v>60</v>
      </c>
      <c r="B205" s="16">
        <f>params!$H$21</f>
        <v>1.7860000000000001E-2</v>
      </c>
      <c r="C205" t="s">
        <v>8</v>
      </c>
      <c r="E205" t="s">
        <v>17</v>
      </c>
      <c r="F205" t="s">
        <v>15</v>
      </c>
      <c r="G205" t="s">
        <v>61</v>
      </c>
    </row>
    <row r="206" spans="1:7" x14ac:dyDescent="0.25">
      <c r="A206" t="s">
        <v>62</v>
      </c>
      <c r="B206" s="16">
        <f>params!$H$22</f>
        <v>3.04E-2</v>
      </c>
      <c r="C206" t="s">
        <v>8</v>
      </c>
      <c r="E206" t="s">
        <v>4</v>
      </c>
      <c r="F206" t="s">
        <v>15</v>
      </c>
      <c r="G206" t="s">
        <v>62</v>
      </c>
    </row>
    <row r="207" spans="1:7" x14ac:dyDescent="0.25">
      <c r="A207" t="s">
        <v>121</v>
      </c>
      <c r="B207" s="16">
        <f>params!$H$23</f>
        <v>0.21811999999999998</v>
      </c>
      <c r="C207" t="s">
        <v>8</v>
      </c>
      <c r="E207" t="s">
        <v>17</v>
      </c>
      <c r="F207" t="s">
        <v>15</v>
      </c>
      <c r="G207" t="s">
        <v>122</v>
      </c>
    </row>
    <row r="208" spans="1:7" x14ac:dyDescent="0.25">
      <c r="A208" t="s">
        <v>123</v>
      </c>
      <c r="B208" s="16">
        <f>params!$H$24</f>
        <v>3.3439999999999998E-2</v>
      </c>
      <c r="C208" t="s">
        <v>8</v>
      </c>
      <c r="E208" t="s">
        <v>4</v>
      </c>
      <c r="F208" t="s">
        <v>15</v>
      </c>
      <c r="G208" t="s">
        <v>124</v>
      </c>
    </row>
    <row r="209" spans="1:11" x14ac:dyDescent="0.25">
      <c r="A209" t="s">
        <v>35</v>
      </c>
      <c r="B209" s="16">
        <v>3.2859232000000002E-2</v>
      </c>
      <c r="C209" t="s">
        <v>22</v>
      </c>
      <c r="E209" t="s">
        <v>17</v>
      </c>
      <c r="F209" t="s">
        <v>15</v>
      </c>
      <c r="G209" t="s">
        <v>26</v>
      </c>
    </row>
    <row r="210" spans="1:11" x14ac:dyDescent="0.25">
      <c r="A210" t="s">
        <v>37</v>
      </c>
      <c r="B210" s="16">
        <v>2.6585139999999998E-3</v>
      </c>
      <c r="C210" t="s">
        <v>22</v>
      </c>
      <c r="E210" t="s">
        <v>17</v>
      </c>
      <c r="F210" t="s">
        <v>15</v>
      </c>
      <c r="G210" t="s">
        <v>38</v>
      </c>
    </row>
    <row r="211" spans="1:11" x14ac:dyDescent="0.25">
      <c r="A211" t="s">
        <v>23</v>
      </c>
      <c r="B211" s="16">
        <v>2.2225175999999999E-2</v>
      </c>
      <c r="C211" t="s">
        <v>22</v>
      </c>
      <c r="E211" t="s">
        <v>17</v>
      </c>
      <c r="F211" t="s">
        <v>15</v>
      </c>
      <c r="G211" t="s">
        <v>24</v>
      </c>
    </row>
    <row r="212" spans="1:11" x14ac:dyDescent="0.25">
      <c r="A212" t="s">
        <v>27</v>
      </c>
      <c r="B212" s="16">
        <v>6.3697992999999994E-2</v>
      </c>
      <c r="C212" t="s">
        <v>22</v>
      </c>
      <c r="E212" t="s">
        <v>4</v>
      </c>
      <c r="F212" t="s">
        <v>15</v>
      </c>
      <c r="G212" t="s">
        <v>28</v>
      </c>
    </row>
    <row r="213" spans="1:11" x14ac:dyDescent="0.25">
      <c r="A213" t="s">
        <v>54</v>
      </c>
      <c r="B213" s="16">
        <v>-1.0035100616353101</v>
      </c>
      <c r="C213" t="s">
        <v>8</v>
      </c>
      <c r="E213" t="s">
        <v>17</v>
      </c>
      <c r="F213" t="s">
        <v>15</v>
      </c>
      <c r="G213" t="s">
        <v>55</v>
      </c>
    </row>
    <row r="214" spans="1:11" x14ac:dyDescent="0.25">
      <c r="A214" t="s">
        <v>47</v>
      </c>
      <c r="B214" s="16">
        <v>-1.88412598664482E-2</v>
      </c>
      <c r="C214" t="s">
        <v>42</v>
      </c>
      <c r="E214" t="s">
        <v>17</v>
      </c>
      <c r="F214" t="s">
        <v>15</v>
      </c>
      <c r="G214" t="s">
        <v>48</v>
      </c>
    </row>
    <row r="215" spans="1:11" x14ac:dyDescent="0.25">
      <c r="A215" t="s">
        <v>33</v>
      </c>
      <c r="B215" s="16">
        <v>4.0000000000000001E-10</v>
      </c>
      <c r="C215" t="s">
        <v>7</v>
      </c>
      <c r="E215" t="s">
        <v>4</v>
      </c>
      <c r="F215" t="s">
        <v>15</v>
      </c>
      <c r="G215" t="s">
        <v>34</v>
      </c>
    </row>
    <row r="216" spans="1:11" x14ac:dyDescent="0.25">
      <c r="A216" t="s">
        <v>49</v>
      </c>
      <c r="B216" s="16">
        <v>1.88412598664482E-2</v>
      </c>
      <c r="C216" t="s">
        <v>42</v>
      </c>
      <c r="D216" t="s">
        <v>50</v>
      </c>
      <c r="F216" t="s">
        <v>40</v>
      </c>
    </row>
    <row r="217" spans="1:11" x14ac:dyDescent="0.25">
      <c r="A217" t="s">
        <v>41</v>
      </c>
      <c r="B217" s="16">
        <v>2.3245761180933701E-4</v>
      </c>
      <c r="C217" t="s">
        <v>42</v>
      </c>
      <c r="D217" t="s">
        <v>64</v>
      </c>
      <c r="F217" t="s">
        <v>40</v>
      </c>
    </row>
    <row r="218" spans="1:11" x14ac:dyDescent="0.25">
      <c r="B218" s="16"/>
    </row>
    <row r="219" spans="1:11" ht="15.75" x14ac:dyDescent="0.25">
      <c r="A219" s="8" t="s">
        <v>0</v>
      </c>
      <c r="B219" s="8" t="s">
        <v>127</v>
      </c>
      <c r="C219" s="8"/>
      <c r="D219" s="9"/>
      <c r="E219" s="9"/>
      <c r="F219" s="9"/>
      <c r="G219" s="9"/>
      <c r="H219" s="9"/>
      <c r="I219" s="9"/>
      <c r="J219" s="9"/>
      <c r="K219" s="9"/>
    </row>
    <row r="220" spans="1:11" x14ac:dyDescent="0.25">
      <c r="A220" s="9" t="s">
        <v>3</v>
      </c>
      <c r="B220" s="9" t="s">
        <v>43</v>
      </c>
      <c r="C220" s="9"/>
      <c r="D220" s="9"/>
      <c r="E220" s="9"/>
      <c r="F220" s="9"/>
      <c r="G220" s="9"/>
      <c r="H220" s="9"/>
      <c r="I220" s="9"/>
      <c r="J220" s="9"/>
      <c r="K220" s="9"/>
    </row>
    <row r="221" spans="1:11" x14ac:dyDescent="0.25">
      <c r="A221" s="9" t="s">
        <v>5</v>
      </c>
      <c r="B221" s="9">
        <v>1</v>
      </c>
      <c r="C221" s="9"/>
      <c r="D221" s="9"/>
      <c r="E221" s="9"/>
      <c r="F221" s="9"/>
      <c r="G221" s="9"/>
      <c r="H221" s="9"/>
      <c r="I221" s="9"/>
      <c r="J221" s="9"/>
      <c r="K221" s="9"/>
    </row>
    <row r="222" spans="1:11" x14ac:dyDescent="0.25">
      <c r="A222" s="9" t="s">
        <v>6</v>
      </c>
      <c r="B222" s="9" t="s">
        <v>125</v>
      </c>
      <c r="C222" s="9"/>
      <c r="D222" s="9"/>
      <c r="E222" s="9"/>
      <c r="F222" s="9"/>
      <c r="G222" s="9"/>
      <c r="H222" s="9"/>
      <c r="I222" s="9"/>
      <c r="J222" s="9"/>
      <c r="K222" s="9"/>
    </row>
    <row r="223" spans="1:11" x14ac:dyDescent="0.25">
      <c r="A223" s="9" t="s">
        <v>7</v>
      </c>
      <c r="B223" s="9" t="s">
        <v>8</v>
      </c>
      <c r="C223" s="9"/>
      <c r="D223" s="9"/>
      <c r="E223" s="9"/>
      <c r="F223" s="9"/>
      <c r="G223" s="9"/>
      <c r="H223" s="9"/>
      <c r="I223" s="9"/>
      <c r="J223" s="9"/>
      <c r="K223" s="9"/>
    </row>
    <row r="224" spans="1:11" x14ac:dyDescent="0.25">
      <c r="A224" s="9" t="s">
        <v>1</v>
      </c>
      <c r="B224" s="9" t="s">
        <v>126</v>
      </c>
      <c r="C224" s="9"/>
      <c r="D224" s="9"/>
      <c r="E224" s="9"/>
      <c r="F224" s="9"/>
      <c r="G224" s="9"/>
      <c r="H224" s="9"/>
      <c r="I224" s="9"/>
      <c r="J224" s="9"/>
      <c r="K224" s="9"/>
    </row>
    <row r="225" spans="1:11" x14ac:dyDescent="0.25">
      <c r="A225" s="10" t="s">
        <v>10</v>
      </c>
      <c r="B225" s="9"/>
      <c r="C225" s="9"/>
      <c r="D225" s="9"/>
      <c r="E225" s="9"/>
      <c r="F225" s="9"/>
      <c r="G225" s="9"/>
      <c r="H225" s="9"/>
      <c r="I225" s="9"/>
      <c r="J225" s="9"/>
      <c r="K225" s="9"/>
    </row>
    <row r="226" spans="1:11" x14ac:dyDescent="0.25">
      <c r="A226" s="9" t="s">
        <v>11</v>
      </c>
      <c r="B226" s="9" t="s">
        <v>12</v>
      </c>
      <c r="C226" s="9" t="s">
        <v>7</v>
      </c>
      <c r="D226" s="9" t="s">
        <v>36</v>
      </c>
      <c r="E226" s="9" t="s">
        <v>3</v>
      </c>
      <c r="F226" s="9" t="s">
        <v>13</v>
      </c>
      <c r="G226" s="9" t="s">
        <v>6</v>
      </c>
      <c r="H226" s="9"/>
      <c r="I226" s="9"/>
      <c r="J226" s="9"/>
      <c r="K226" s="9"/>
    </row>
    <row r="227" spans="1:11" x14ac:dyDescent="0.25">
      <c r="A227" s="9" t="s">
        <v>127</v>
      </c>
      <c r="B227" s="9">
        <v>1</v>
      </c>
      <c r="C227" s="9" t="s">
        <v>8</v>
      </c>
      <c r="D227" s="9"/>
      <c r="E227" s="9" t="s">
        <v>43</v>
      </c>
      <c r="F227" s="9" t="s">
        <v>14</v>
      </c>
      <c r="G227" s="9" t="s">
        <v>125</v>
      </c>
      <c r="H227" s="9"/>
      <c r="I227" s="9"/>
      <c r="J227" s="9"/>
      <c r="K227" s="9"/>
    </row>
    <row r="228" spans="1:11" x14ac:dyDescent="0.25">
      <c r="A228" t="s">
        <v>185</v>
      </c>
      <c r="B228" s="9">
        <v>2.63</v>
      </c>
      <c r="C228" s="9" t="s">
        <v>8</v>
      </c>
      <c r="D228" s="9"/>
      <c r="E228" s="9" t="s">
        <v>43</v>
      </c>
      <c r="F228" s="9" t="s">
        <v>15</v>
      </c>
      <c r="G228" s="9" t="s">
        <v>46</v>
      </c>
      <c r="H228" s="9"/>
      <c r="I228" s="9"/>
      <c r="J228" s="9"/>
      <c r="K228" s="9"/>
    </row>
    <row r="229" spans="1:11" x14ac:dyDescent="0.25">
      <c r="A229" t="s">
        <v>19</v>
      </c>
      <c r="B229">
        <f>params!I9</f>
        <v>3.4</v>
      </c>
      <c r="C229" t="s">
        <v>20</v>
      </c>
      <c r="E229" t="s">
        <v>43</v>
      </c>
      <c r="F229" t="s">
        <v>15</v>
      </c>
      <c r="G229" t="s">
        <v>21</v>
      </c>
      <c r="H229" s="9"/>
      <c r="I229" s="9"/>
      <c r="J229" s="9"/>
      <c r="K229" s="9"/>
    </row>
    <row r="230" spans="1:11" x14ac:dyDescent="0.25">
      <c r="A230" s="9"/>
      <c r="B230" s="9"/>
      <c r="C230" s="9"/>
      <c r="D230" s="9"/>
      <c r="E230" s="9"/>
      <c r="F230" s="9"/>
      <c r="G230" s="9"/>
      <c r="H230" s="9"/>
      <c r="I230" s="9"/>
      <c r="J230" s="9"/>
      <c r="K230" s="9"/>
    </row>
    <row r="231" spans="1:11" ht="15.75" x14ac:dyDescent="0.25">
      <c r="A231" s="8" t="s">
        <v>0</v>
      </c>
      <c r="B231" s="8" t="s">
        <v>128</v>
      </c>
      <c r="C231" s="8"/>
      <c r="D231" s="9"/>
      <c r="E231" s="9"/>
      <c r="F231" s="9"/>
      <c r="G231" s="9"/>
      <c r="H231" s="9"/>
      <c r="I231" s="9"/>
      <c r="J231" s="9"/>
      <c r="K231" s="9"/>
    </row>
    <row r="232" spans="1:11" x14ac:dyDescent="0.25">
      <c r="A232" s="9" t="s">
        <v>3</v>
      </c>
      <c r="B232" s="9" t="s">
        <v>43</v>
      </c>
      <c r="C232" s="9"/>
      <c r="D232" s="9"/>
      <c r="E232" s="9"/>
      <c r="F232" s="9"/>
      <c r="G232" s="9"/>
      <c r="H232" s="9"/>
      <c r="I232" s="9"/>
      <c r="J232" s="9"/>
      <c r="K232" s="9"/>
    </row>
    <row r="233" spans="1:11" x14ac:dyDescent="0.25">
      <c r="A233" s="9" t="s">
        <v>5</v>
      </c>
      <c r="B233" s="9">
        <v>1</v>
      </c>
      <c r="C233" s="9"/>
      <c r="D233" s="9"/>
      <c r="E233" s="9"/>
      <c r="F233" s="9"/>
      <c r="G233" s="9"/>
      <c r="H233" s="9"/>
      <c r="I233" s="9"/>
      <c r="J233" s="9"/>
      <c r="K233" s="9"/>
    </row>
    <row r="234" spans="1:11" x14ac:dyDescent="0.25">
      <c r="A234" s="9" t="s">
        <v>6</v>
      </c>
      <c r="B234" s="9" t="s">
        <v>125</v>
      </c>
      <c r="C234" s="9"/>
      <c r="D234" s="9"/>
      <c r="E234" s="9"/>
      <c r="F234" s="9"/>
      <c r="G234" s="9"/>
      <c r="H234" s="9"/>
      <c r="I234" s="9"/>
      <c r="J234" s="9"/>
      <c r="K234" s="9"/>
    </row>
    <row r="235" spans="1:11" x14ac:dyDescent="0.25">
      <c r="A235" s="9" t="s">
        <v>7</v>
      </c>
      <c r="B235" s="9" t="s">
        <v>8</v>
      </c>
      <c r="C235" s="9"/>
      <c r="D235" s="9"/>
      <c r="E235" s="9"/>
      <c r="F235" s="9"/>
      <c r="G235" s="9"/>
      <c r="H235" s="9"/>
      <c r="I235" s="9"/>
      <c r="J235" s="9"/>
      <c r="K235" s="9"/>
    </row>
    <row r="236" spans="1:11" x14ac:dyDescent="0.25">
      <c r="A236" s="9" t="s">
        <v>1</v>
      </c>
      <c r="B236" s="9" t="s">
        <v>126</v>
      </c>
      <c r="C236" s="9"/>
      <c r="D236" s="9"/>
      <c r="E236" s="9"/>
      <c r="F236" s="9"/>
      <c r="G236" s="9"/>
      <c r="H236" s="9"/>
      <c r="I236" s="9"/>
      <c r="J236" s="9"/>
      <c r="K236" s="9"/>
    </row>
    <row r="237" spans="1:11" x14ac:dyDescent="0.25">
      <c r="A237" s="10" t="s">
        <v>10</v>
      </c>
      <c r="B237" s="9"/>
      <c r="C237" s="9"/>
      <c r="D237" s="9"/>
      <c r="E237" s="9"/>
      <c r="F237" s="9"/>
      <c r="G237" s="9"/>
      <c r="H237" s="9"/>
      <c r="I237" s="9"/>
      <c r="J237" s="9"/>
      <c r="K237" s="9"/>
    </row>
    <row r="238" spans="1:11" x14ac:dyDescent="0.25">
      <c r="A238" s="9" t="s">
        <v>11</v>
      </c>
      <c r="B238" s="9" t="s">
        <v>12</v>
      </c>
      <c r="C238" s="9" t="s">
        <v>7</v>
      </c>
      <c r="D238" s="9" t="s">
        <v>36</v>
      </c>
      <c r="E238" s="9" t="s">
        <v>3</v>
      </c>
      <c r="F238" s="9" t="s">
        <v>13</v>
      </c>
      <c r="G238" s="9" t="s">
        <v>6</v>
      </c>
      <c r="H238" s="9"/>
      <c r="I238" s="9"/>
      <c r="J238" s="9"/>
      <c r="K238" s="9"/>
    </row>
    <row r="239" spans="1:11" x14ac:dyDescent="0.25">
      <c r="A239" s="9" t="s">
        <v>128</v>
      </c>
      <c r="B239" s="9">
        <v>1</v>
      </c>
      <c r="C239" s="9" t="s">
        <v>8</v>
      </c>
      <c r="D239" s="9"/>
      <c r="E239" s="9" t="s">
        <v>43</v>
      </c>
      <c r="F239" s="9" t="s">
        <v>14</v>
      </c>
      <c r="G239" s="9" t="s">
        <v>125</v>
      </c>
      <c r="H239" s="9"/>
      <c r="I239" s="9"/>
      <c r="J239" s="9"/>
      <c r="K239" s="9"/>
    </row>
    <row r="240" spans="1:11" x14ac:dyDescent="0.25">
      <c r="A240" t="s">
        <v>186</v>
      </c>
      <c r="B240" s="9">
        <v>2.63</v>
      </c>
      <c r="C240" s="9" t="s">
        <v>8</v>
      </c>
      <c r="D240" s="9"/>
      <c r="E240" s="9" t="s">
        <v>43</v>
      </c>
      <c r="F240" s="9" t="s">
        <v>15</v>
      </c>
      <c r="G240" s="9" t="s">
        <v>46</v>
      </c>
      <c r="H240" s="9"/>
      <c r="I240" s="9"/>
      <c r="J240" s="9"/>
      <c r="K240" s="9"/>
    </row>
    <row r="241" spans="1:11" x14ac:dyDescent="0.25">
      <c r="A241" t="s">
        <v>19</v>
      </c>
      <c r="B241">
        <f>params!I9</f>
        <v>3.4</v>
      </c>
      <c r="C241" t="s">
        <v>20</v>
      </c>
      <c r="E241" t="s">
        <v>43</v>
      </c>
      <c r="F241" t="s">
        <v>15</v>
      </c>
      <c r="G241" t="s">
        <v>21</v>
      </c>
      <c r="H241" s="9"/>
      <c r="I241" s="9"/>
      <c r="J241" s="9"/>
      <c r="K241" s="9"/>
    </row>
    <row r="242" spans="1:11" x14ac:dyDescent="0.25">
      <c r="A242" s="9"/>
      <c r="B242" s="9"/>
      <c r="C242" s="9"/>
      <c r="D242" s="9"/>
      <c r="E242" s="9"/>
      <c r="F242" s="9"/>
      <c r="G242" s="9"/>
      <c r="H242" s="9"/>
      <c r="I242" s="9"/>
      <c r="J242" s="9"/>
      <c r="K242" s="9"/>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opLeftCell="A169" workbookViewId="0">
      <selection activeCell="J23" sqref="J23"/>
    </sheetView>
  </sheetViews>
  <sheetFormatPr defaultColWidth="8.85546875" defaultRowHeight="15" x14ac:dyDescent="0.25"/>
  <cols>
    <col min="1" max="1" width="46.42578125" customWidth="1"/>
    <col min="2" max="2" width="11.7109375" style="2" bestFit="1" customWidth="1"/>
  </cols>
  <sheetData>
    <row r="1" spans="1:11" x14ac:dyDescent="0.25">
      <c r="A1" t="s">
        <v>129</v>
      </c>
    </row>
    <row r="4" spans="1:11" ht="15.75" x14ac:dyDescent="0.25">
      <c r="A4" s="8" t="s">
        <v>0</v>
      </c>
      <c r="B4" s="8" t="s">
        <v>185</v>
      </c>
      <c r="C4" s="8"/>
      <c r="D4" s="9"/>
      <c r="E4" s="9"/>
      <c r="F4" s="9"/>
      <c r="G4" s="9"/>
      <c r="H4" s="9"/>
      <c r="I4" s="9"/>
      <c r="J4" s="9"/>
      <c r="K4" s="9"/>
    </row>
    <row r="5" spans="1:11" x14ac:dyDescent="0.25">
      <c r="A5" s="9" t="s">
        <v>3</v>
      </c>
      <c r="B5" s="9" t="s">
        <v>43</v>
      </c>
      <c r="C5" s="9"/>
      <c r="D5" s="9"/>
      <c r="E5" s="9"/>
      <c r="F5" s="9"/>
      <c r="G5" s="9"/>
      <c r="H5" s="9"/>
      <c r="I5" s="9"/>
      <c r="J5" s="9"/>
      <c r="K5" s="9"/>
    </row>
    <row r="6" spans="1:11" x14ac:dyDescent="0.25">
      <c r="A6" s="9" t="s">
        <v>5</v>
      </c>
      <c r="B6" s="9">
        <v>1</v>
      </c>
      <c r="C6" s="9"/>
      <c r="D6" s="9"/>
      <c r="E6" s="9"/>
      <c r="F6" s="9"/>
      <c r="G6" s="9"/>
      <c r="H6" s="9"/>
      <c r="I6" s="9"/>
      <c r="J6" s="9"/>
      <c r="K6" s="9"/>
    </row>
    <row r="7" spans="1:11" x14ac:dyDescent="0.25">
      <c r="A7" s="9" t="s">
        <v>6</v>
      </c>
      <c r="B7" s="9" t="s">
        <v>46</v>
      </c>
      <c r="C7" s="9"/>
      <c r="D7" s="9"/>
      <c r="E7" s="9"/>
      <c r="F7" s="9"/>
      <c r="G7" s="9"/>
      <c r="H7" s="9"/>
      <c r="I7" s="9"/>
      <c r="J7" s="9"/>
      <c r="K7" s="9"/>
    </row>
    <row r="8" spans="1:11" x14ac:dyDescent="0.25">
      <c r="A8" s="9" t="s">
        <v>7</v>
      </c>
      <c r="B8" s="9" t="s">
        <v>8</v>
      </c>
      <c r="C8" s="9"/>
      <c r="D8" s="9"/>
      <c r="E8" s="9"/>
      <c r="F8" s="9"/>
      <c r="G8" s="9"/>
      <c r="H8" s="9"/>
      <c r="I8" s="9"/>
      <c r="J8" s="9"/>
      <c r="K8" s="9"/>
    </row>
    <row r="9" spans="1:11" x14ac:dyDescent="0.25">
      <c r="A9" s="9" t="s">
        <v>1</v>
      </c>
      <c r="B9" s="50" t="s">
        <v>184</v>
      </c>
      <c r="C9" s="9"/>
      <c r="D9" s="9"/>
      <c r="E9" s="9"/>
      <c r="F9" s="9"/>
      <c r="G9" s="9"/>
      <c r="H9" s="9"/>
      <c r="I9" s="9"/>
      <c r="J9" s="9"/>
      <c r="K9" s="9"/>
    </row>
    <row r="10" spans="1:11" x14ac:dyDescent="0.25">
      <c r="A10" s="10" t="s">
        <v>10</v>
      </c>
      <c r="B10" s="9"/>
      <c r="C10" s="9"/>
      <c r="D10" s="9"/>
      <c r="E10" s="9"/>
      <c r="F10" s="9"/>
      <c r="G10" s="9"/>
      <c r="H10" s="9"/>
      <c r="I10" s="9"/>
      <c r="J10" s="9"/>
      <c r="K10" s="9"/>
    </row>
    <row r="11" spans="1:11" x14ac:dyDescent="0.25">
      <c r="A11" s="9" t="s">
        <v>11</v>
      </c>
      <c r="B11" s="9" t="s">
        <v>12</v>
      </c>
      <c r="C11" s="9" t="s">
        <v>7</v>
      </c>
      <c r="D11" s="9" t="s">
        <v>36</v>
      </c>
      <c r="E11" s="9" t="s">
        <v>3</v>
      </c>
      <c r="F11" s="9" t="s">
        <v>13</v>
      </c>
      <c r="G11" s="9" t="s">
        <v>6</v>
      </c>
      <c r="H11" s="9"/>
      <c r="I11" s="9"/>
      <c r="J11" s="9"/>
      <c r="K11" s="9"/>
    </row>
    <row r="12" spans="1:11" x14ac:dyDescent="0.25">
      <c r="A12" s="9" t="s">
        <v>185</v>
      </c>
      <c r="B12" s="9">
        <v>1</v>
      </c>
      <c r="C12" s="9" t="s">
        <v>8</v>
      </c>
      <c r="D12" s="9"/>
      <c r="E12" s="9" t="s">
        <v>43</v>
      </c>
      <c r="F12" s="9" t="s">
        <v>14</v>
      </c>
      <c r="G12" s="9" t="s">
        <v>46</v>
      </c>
      <c r="H12" s="9"/>
      <c r="I12" s="9"/>
      <c r="J12" s="9"/>
      <c r="K12" s="9"/>
    </row>
    <row r="13" spans="1:11" x14ac:dyDescent="0.25">
      <c r="A13" s="9" t="s">
        <v>90</v>
      </c>
      <c r="B13" s="11">
        <f>0.38*1.2</f>
        <v>0.45599999999999996</v>
      </c>
      <c r="C13" s="9" t="s">
        <v>8</v>
      </c>
      <c r="D13" s="9" t="s">
        <v>91</v>
      </c>
      <c r="E13" s="9"/>
      <c r="F13" s="9" t="s">
        <v>40</v>
      </c>
      <c r="G13" s="9"/>
      <c r="H13" s="9"/>
      <c r="I13" s="9"/>
      <c r="J13" s="9"/>
      <c r="K13" s="9"/>
    </row>
    <row r="14" spans="1:11" x14ac:dyDescent="0.25">
      <c r="A14" t="s">
        <v>81</v>
      </c>
      <c r="B14" s="12">
        <f>8.202*1055/1000</f>
        <v>8.6531099999999999</v>
      </c>
      <c r="C14" s="9" t="s">
        <v>31</v>
      </c>
      <c r="E14" t="s">
        <v>4</v>
      </c>
      <c r="F14" s="9" t="s">
        <v>15</v>
      </c>
      <c r="G14" t="s">
        <v>82</v>
      </c>
      <c r="H14" s="9"/>
      <c r="I14" s="9"/>
      <c r="J14" s="9"/>
      <c r="K14" s="9"/>
    </row>
    <row r="15" spans="1:11" x14ac:dyDescent="0.25">
      <c r="A15" t="s">
        <v>96</v>
      </c>
      <c r="B15" s="11">
        <f>21236/1000/1000</f>
        <v>2.1236000000000001E-2</v>
      </c>
      <c r="C15" s="9" t="s">
        <v>8</v>
      </c>
      <c r="D15" s="9" t="s">
        <v>39</v>
      </c>
      <c r="F15" s="9" t="s">
        <v>40</v>
      </c>
      <c r="H15" s="9"/>
      <c r="I15" s="9"/>
      <c r="J15" s="9"/>
      <c r="K15" s="9"/>
    </row>
    <row r="16" spans="1:11" x14ac:dyDescent="0.25">
      <c r="A16" t="s">
        <v>97</v>
      </c>
      <c r="B16" s="12">
        <f>2192/1000/1000</f>
        <v>2.1920000000000004E-3</v>
      </c>
      <c r="C16" s="9" t="s">
        <v>8</v>
      </c>
      <c r="D16" s="9" t="s">
        <v>39</v>
      </c>
      <c r="F16" s="9" t="s">
        <v>40</v>
      </c>
      <c r="H16" s="9"/>
      <c r="I16" s="9"/>
      <c r="J16" s="9"/>
      <c r="K16" s="9"/>
    </row>
    <row r="17" spans="1:11" x14ac:dyDescent="0.25">
      <c r="A17" t="s">
        <v>195</v>
      </c>
      <c r="B17">
        <f>(6.481*1055/1000)-B18</f>
        <v>5.6859811111111114</v>
      </c>
      <c r="C17" t="s">
        <v>20</v>
      </c>
      <c r="E17" t="s">
        <v>4</v>
      </c>
      <c r="F17" t="s">
        <v>15</v>
      </c>
      <c r="G17" t="s">
        <v>196</v>
      </c>
      <c r="H17" s="9"/>
      <c r="I17" s="9"/>
      <c r="J17" s="9"/>
      <c r="K17" s="9"/>
    </row>
    <row r="18" spans="1:11" x14ac:dyDescent="0.25">
      <c r="A18" t="s">
        <v>19</v>
      </c>
      <c r="B18" s="5">
        <f>params!H9</f>
        <v>1.1514738888888889</v>
      </c>
      <c r="C18" t="s">
        <v>20</v>
      </c>
      <c r="E18" t="s">
        <v>43</v>
      </c>
      <c r="F18" t="s">
        <v>15</v>
      </c>
      <c r="G18" t="s">
        <v>21</v>
      </c>
      <c r="H18" s="9"/>
      <c r="I18" s="9"/>
      <c r="J18" s="9"/>
      <c r="K18" s="9"/>
    </row>
    <row r="19" spans="1:11" x14ac:dyDescent="0.25">
      <c r="A19" t="s">
        <v>120</v>
      </c>
      <c r="B19" s="16">
        <f>10.205*1055/1000</f>
        <v>10.766275</v>
      </c>
      <c r="C19" t="s">
        <v>31</v>
      </c>
      <c r="E19" t="s">
        <v>17</v>
      </c>
      <c r="F19" t="s">
        <v>15</v>
      </c>
      <c r="G19" t="s">
        <v>80</v>
      </c>
    </row>
    <row r="20" spans="1:11" x14ac:dyDescent="0.25">
      <c r="A20" t="s">
        <v>16</v>
      </c>
      <c r="B20" s="16">
        <f>9069*params!L15/1000</f>
        <v>34.329792599999998</v>
      </c>
      <c r="C20" t="s">
        <v>8</v>
      </c>
      <c r="E20" t="s">
        <v>17</v>
      </c>
      <c r="F20" t="s">
        <v>15</v>
      </c>
      <c r="G20" t="s">
        <v>18</v>
      </c>
    </row>
    <row r="21" spans="1:11" x14ac:dyDescent="0.25">
      <c r="A21" t="s">
        <v>107</v>
      </c>
      <c r="B21" s="15">
        <v>0.27400000000000002</v>
      </c>
      <c r="C21" s="9" t="s">
        <v>8</v>
      </c>
      <c r="E21" s="9" t="s">
        <v>4</v>
      </c>
      <c r="F21" s="9" t="s">
        <v>15</v>
      </c>
      <c r="G21" t="s">
        <v>108</v>
      </c>
    </row>
    <row r="22" spans="1:11" x14ac:dyDescent="0.25">
      <c r="A22" t="s">
        <v>56</v>
      </c>
      <c r="B22" s="16">
        <v>0.378</v>
      </c>
      <c r="C22" t="s">
        <v>8</v>
      </c>
      <c r="E22" t="s">
        <v>17</v>
      </c>
      <c r="F22" t="s">
        <v>15</v>
      </c>
      <c r="G22" t="s">
        <v>57</v>
      </c>
    </row>
    <row r="23" spans="1:11" x14ac:dyDescent="0.25">
      <c r="A23" t="s">
        <v>83</v>
      </c>
      <c r="B23" s="16">
        <v>0.13800000000000001</v>
      </c>
      <c r="C23" t="s">
        <v>8</v>
      </c>
      <c r="E23" t="s">
        <v>17</v>
      </c>
      <c r="F23" t="s">
        <v>15</v>
      </c>
      <c r="G23" t="s">
        <v>84</v>
      </c>
    </row>
    <row r="24" spans="1:11" x14ac:dyDescent="0.25">
      <c r="A24" t="s">
        <v>44</v>
      </c>
      <c r="B24" s="16">
        <v>1.056</v>
      </c>
      <c r="C24" t="s">
        <v>8</v>
      </c>
      <c r="E24" t="s">
        <v>4</v>
      </c>
      <c r="F24" t="s">
        <v>15</v>
      </c>
      <c r="G24" t="s">
        <v>45</v>
      </c>
    </row>
    <row r="25" spans="1:11" x14ac:dyDescent="0.25">
      <c r="A25" t="s">
        <v>105</v>
      </c>
      <c r="B25" s="15">
        <v>0.44700000000000001</v>
      </c>
      <c r="C25" s="9" t="s">
        <v>8</v>
      </c>
      <c r="E25" s="9" t="s">
        <v>4</v>
      </c>
      <c r="F25" s="9" t="s">
        <v>15</v>
      </c>
      <c r="G25" t="s">
        <v>106</v>
      </c>
    </row>
    <row r="26" spans="1:11" x14ac:dyDescent="0.25">
      <c r="A26" t="s">
        <v>52</v>
      </c>
      <c r="B26" s="16">
        <v>0.97699999999999998</v>
      </c>
      <c r="C26" t="s">
        <v>8</v>
      </c>
      <c r="E26" t="s">
        <v>17</v>
      </c>
      <c r="F26" t="s">
        <v>15</v>
      </c>
      <c r="G26" t="s">
        <v>53</v>
      </c>
    </row>
    <row r="27" spans="1:11" x14ac:dyDescent="0.25">
      <c r="A27" t="s">
        <v>58</v>
      </c>
      <c r="B27" s="16">
        <v>0.53600000000000003</v>
      </c>
      <c r="C27" t="s">
        <v>8</v>
      </c>
      <c r="E27" t="s">
        <v>17</v>
      </c>
      <c r="F27" t="s">
        <v>15</v>
      </c>
      <c r="G27" t="s">
        <v>59</v>
      </c>
    </row>
    <row r="28" spans="1:11" x14ac:dyDescent="0.25">
      <c r="A28" t="s">
        <v>60</v>
      </c>
      <c r="B28" s="16">
        <v>1.7999999999999999E-2</v>
      </c>
      <c r="C28" t="s">
        <v>8</v>
      </c>
      <c r="E28" t="s">
        <v>17</v>
      </c>
      <c r="F28" t="s">
        <v>15</v>
      </c>
      <c r="G28" t="s">
        <v>61</v>
      </c>
    </row>
    <row r="29" spans="1:11" x14ac:dyDescent="0.25">
      <c r="A29" t="s">
        <v>62</v>
      </c>
      <c r="B29" s="16">
        <v>0.03</v>
      </c>
      <c r="C29" t="s">
        <v>8</v>
      </c>
      <c r="E29" t="s">
        <v>4</v>
      </c>
      <c r="F29" t="s">
        <v>15</v>
      </c>
      <c r="G29" t="s">
        <v>62</v>
      </c>
    </row>
    <row r="30" spans="1:11" x14ac:dyDescent="0.25">
      <c r="A30" t="s">
        <v>121</v>
      </c>
      <c r="B30" s="16">
        <v>0.218</v>
      </c>
      <c r="C30" t="s">
        <v>8</v>
      </c>
      <c r="E30" t="s">
        <v>17</v>
      </c>
      <c r="F30" t="s">
        <v>15</v>
      </c>
      <c r="G30" t="s">
        <v>122</v>
      </c>
    </row>
    <row r="31" spans="1:11" x14ac:dyDescent="0.25">
      <c r="A31" t="s">
        <v>123</v>
      </c>
      <c r="B31" s="16">
        <v>3.4000000000000002E-2</v>
      </c>
      <c r="C31" t="s">
        <v>8</v>
      </c>
      <c r="E31" t="s">
        <v>4</v>
      </c>
      <c r="F31" t="s">
        <v>15</v>
      </c>
      <c r="G31" t="s">
        <v>124</v>
      </c>
    </row>
    <row r="32" spans="1:11" x14ac:dyDescent="0.25">
      <c r="A32" t="s">
        <v>73</v>
      </c>
      <c r="B32" s="15">
        <f>2500/1000/1000</f>
        <v>2.5000000000000001E-3</v>
      </c>
      <c r="C32" s="9" t="s">
        <v>8</v>
      </c>
      <c r="D32" t="s">
        <v>39</v>
      </c>
      <c r="F32" s="9" t="s">
        <v>40</v>
      </c>
    </row>
    <row r="33" spans="1:11" x14ac:dyDescent="0.25">
      <c r="A33" t="s">
        <v>112</v>
      </c>
      <c r="B33" s="15">
        <f>-22*1.08</f>
        <v>-23.76</v>
      </c>
      <c r="C33" s="9" t="s">
        <v>8</v>
      </c>
      <c r="E33" s="9" t="s">
        <v>4</v>
      </c>
      <c r="F33" s="9" t="s">
        <v>15</v>
      </c>
      <c r="G33" t="s">
        <v>85</v>
      </c>
    </row>
    <row r="34" spans="1:11" x14ac:dyDescent="0.25">
      <c r="A34" t="s">
        <v>113</v>
      </c>
      <c r="B34" s="15">
        <f>-22*1.08</f>
        <v>-23.76</v>
      </c>
      <c r="C34" s="9" t="s">
        <v>8</v>
      </c>
      <c r="E34" s="9" t="s">
        <v>114</v>
      </c>
      <c r="F34" s="9" t="s">
        <v>15</v>
      </c>
      <c r="G34" t="s">
        <v>115</v>
      </c>
    </row>
    <row r="35" spans="1:11" x14ac:dyDescent="0.25">
      <c r="A35" t="s">
        <v>92</v>
      </c>
      <c r="B35">
        <f>2.38921785984693*0.38</f>
        <v>0.90790278674183345</v>
      </c>
      <c r="C35" t="s">
        <v>8</v>
      </c>
      <c r="D35" t="s">
        <v>91</v>
      </c>
      <c r="F35" t="s">
        <v>40</v>
      </c>
    </row>
    <row r="36" spans="1:11" x14ac:dyDescent="0.25">
      <c r="A36" t="s">
        <v>187</v>
      </c>
      <c r="B36">
        <f>0.013976542015926*0.38</f>
        <v>5.3110859660518801E-3</v>
      </c>
      <c r="C36" t="s">
        <v>188</v>
      </c>
      <c r="D36" t="s">
        <v>189</v>
      </c>
      <c r="F36" t="s">
        <v>40</v>
      </c>
    </row>
    <row r="37" spans="1:11" x14ac:dyDescent="0.25">
      <c r="A37" t="s">
        <v>190</v>
      </c>
      <c r="B37">
        <f>0.000805316789123233*0.38</f>
        <v>3.0602037986682859E-4</v>
      </c>
      <c r="C37" t="s">
        <v>191</v>
      </c>
      <c r="D37" t="s">
        <v>189</v>
      </c>
      <c r="F37" t="s">
        <v>40</v>
      </c>
    </row>
    <row r="38" spans="1:11" x14ac:dyDescent="0.25">
      <c r="A38" t="s">
        <v>192</v>
      </c>
      <c r="B38">
        <f>0.000464599534598369*0.38</f>
        <v>1.7654782314738022E-4</v>
      </c>
      <c r="C38" t="s">
        <v>191</v>
      </c>
      <c r="D38" t="s">
        <v>189</v>
      </c>
      <c r="F38" t="s">
        <v>40</v>
      </c>
    </row>
    <row r="40" spans="1:11" ht="15.75" x14ac:dyDescent="0.25">
      <c r="A40" s="8" t="s">
        <v>0</v>
      </c>
      <c r="B40" s="8" t="s">
        <v>186</v>
      </c>
      <c r="C40" s="8"/>
      <c r="D40" s="9"/>
      <c r="E40" s="9"/>
      <c r="F40" s="9"/>
      <c r="G40" s="9"/>
      <c r="H40" s="9"/>
      <c r="I40" s="9"/>
      <c r="J40" s="9"/>
      <c r="K40" s="9"/>
    </row>
    <row r="41" spans="1:11" x14ac:dyDescent="0.25">
      <c r="A41" s="9" t="s">
        <v>3</v>
      </c>
      <c r="B41" s="9" t="s">
        <v>43</v>
      </c>
      <c r="C41" s="9"/>
      <c r="D41" s="9"/>
      <c r="E41" s="9"/>
      <c r="F41" s="9"/>
      <c r="G41" s="9"/>
      <c r="H41" s="9"/>
      <c r="I41" s="9"/>
      <c r="J41" s="9"/>
      <c r="K41" s="9"/>
    </row>
    <row r="42" spans="1:11" x14ac:dyDescent="0.25">
      <c r="A42" s="9" t="s">
        <v>5</v>
      </c>
      <c r="B42" s="9">
        <v>1</v>
      </c>
      <c r="C42" s="9"/>
      <c r="D42" s="9"/>
      <c r="E42" s="9"/>
      <c r="F42" s="9"/>
      <c r="G42" s="9"/>
      <c r="H42" s="9"/>
      <c r="I42" s="9"/>
      <c r="J42" s="9"/>
      <c r="K42" s="9"/>
    </row>
    <row r="43" spans="1:11" x14ac:dyDescent="0.25">
      <c r="A43" s="9" t="s">
        <v>6</v>
      </c>
      <c r="B43" s="9" t="s">
        <v>46</v>
      </c>
      <c r="C43" s="9"/>
      <c r="D43" s="9"/>
      <c r="E43" s="9"/>
      <c r="F43" s="9"/>
      <c r="G43" s="9"/>
      <c r="H43" s="9"/>
      <c r="I43" s="9"/>
      <c r="J43" s="9"/>
      <c r="K43" s="9"/>
    </row>
    <row r="44" spans="1:11" x14ac:dyDescent="0.25">
      <c r="A44" s="9" t="s">
        <v>7</v>
      </c>
      <c r="B44" s="9" t="s">
        <v>8</v>
      </c>
      <c r="C44" s="9"/>
      <c r="D44" s="9"/>
      <c r="E44" s="9"/>
      <c r="F44" s="9"/>
      <c r="G44" s="9"/>
      <c r="H44" s="9"/>
      <c r="I44" s="9"/>
      <c r="J44" s="9"/>
      <c r="K44" s="9"/>
    </row>
    <row r="45" spans="1:11" x14ac:dyDescent="0.25">
      <c r="A45" s="9" t="s">
        <v>1</v>
      </c>
      <c r="B45" s="50" t="s">
        <v>184</v>
      </c>
      <c r="C45" s="9"/>
      <c r="D45" s="9"/>
      <c r="E45" s="9"/>
      <c r="F45" s="9"/>
      <c r="G45" s="9"/>
      <c r="H45" s="9"/>
      <c r="I45" s="9"/>
      <c r="J45" s="9"/>
      <c r="K45" s="9"/>
    </row>
    <row r="46" spans="1:11" x14ac:dyDescent="0.25">
      <c r="A46" s="10" t="s">
        <v>10</v>
      </c>
      <c r="B46" s="9"/>
      <c r="C46" s="9"/>
      <c r="D46" s="9"/>
      <c r="E46" s="9"/>
      <c r="F46" s="9"/>
      <c r="G46" s="9"/>
      <c r="H46" s="9"/>
      <c r="I46" s="9"/>
      <c r="J46" s="9"/>
      <c r="K46" s="9"/>
    </row>
    <row r="47" spans="1:11" x14ac:dyDescent="0.25">
      <c r="A47" s="9" t="s">
        <v>11</v>
      </c>
      <c r="B47" s="9" t="s">
        <v>12</v>
      </c>
      <c r="C47" s="9" t="s">
        <v>7</v>
      </c>
      <c r="D47" s="9" t="s">
        <v>36</v>
      </c>
      <c r="E47" s="9" t="s">
        <v>3</v>
      </c>
      <c r="F47" s="9" t="s">
        <v>13</v>
      </c>
      <c r="G47" s="9" t="s">
        <v>6</v>
      </c>
      <c r="H47" s="9"/>
      <c r="I47" s="9"/>
      <c r="J47" s="9"/>
      <c r="K47" s="9"/>
    </row>
    <row r="48" spans="1:11" x14ac:dyDescent="0.25">
      <c r="A48" s="9" t="s">
        <v>186</v>
      </c>
      <c r="B48" s="9">
        <v>1</v>
      </c>
      <c r="C48" s="9" t="s">
        <v>8</v>
      </c>
      <c r="D48" s="9"/>
      <c r="E48" s="9" t="s">
        <v>43</v>
      </c>
      <c r="F48" s="9" t="s">
        <v>14</v>
      </c>
      <c r="G48" s="9" t="s">
        <v>46</v>
      </c>
      <c r="H48" s="9"/>
      <c r="I48" s="9"/>
      <c r="J48" s="9"/>
      <c r="K48" s="9"/>
    </row>
    <row r="49" spans="1:11" x14ac:dyDescent="0.25">
      <c r="A49" s="9" t="s">
        <v>90</v>
      </c>
      <c r="B49" s="11">
        <f>0.38*1.2</f>
        <v>0.45599999999999996</v>
      </c>
      <c r="C49" s="9" t="s">
        <v>8</v>
      </c>
      <c r="D49" s="9" t="s">
        <v>91</v>
      </c>
      <c r="E49" s="9"/>
      <c r="F49" s="9" t="s">
        <v>40</v>
      </c>
      <c r="G49" s="9"/>
      <c r="H49" s="9"/>
      <c r="I49" s="9"/>
      <c r="J49" s="9"/>
      <c r="K49" s="9"/>
    </row>
    <row r="50" spans="1:11" x14ac:dyDescent="0.25">
      <c r="A50" t="s">
        <v>81</v>
      </c>
      <c r="B50" s="12">
        <f>26.963*1055/1000</f>
        <v>28.445965000000001</v>
      </c>
      <c r="C50" s="9" t="s">
        <v>31</v>
      </c>
      <c r="E50" t="s">
        <v>4</v>
      </c>
      <c r="F50" s="9" t="s">
        <v>15</v>
      </c>
      <c r="G50" t="s">
        <v>82</v>
      </c>
      <c r="H50" s="9"/>
      <c r="I50" s="9"/>
      <c r="J50" s="9"/>
      <c r="K50" s="9"/>
    </row>
    <row r="51" spans="1:11" x14ac:dyDescent="0.25">
      <c r="A51" t="s">
        <v>96</v>
      </c>
      <c r="B51" s="11">
        <f>69809/1000/1000</f>
        <v>6.9808999999999996E-2</v>
      </c>
      <c r="C51" s="9" t="s">
        <v>8</v>
      </c>
      <c r="D51" s="9" t="s">
        <v>39</v>
      </c>
      <c r="F51" s="9" t="s">
        <v>40</v>
      </c>
      <c r="H51" s="9"/>
      <c r="I51" s="9"/>
      <c r="J51" s="9"/>
      <c r="K51" s="9"/>
    </row>
    <row r="52" spans="1:11" x14ac:dyDescent="0.25">
      <c r="A52" t="s">
        <v>97</v>
      </c>
      <c r="B52" s="12">
        <f>7205/1000/1000</f>
        <v>7.2050000000000005E-3</v>
      </c>
      <c r="C52" s="9" t="s">
        <v>8</v>
      </c>
      <c r="D52" s="9" t="s">
        <v>39</v>
      </c>
      <c r="F52" s="9" t="s">
        <v>40</v>
      </c>
      <c r="H52" s="9"/>
      <c r="I52" s="9"/>
      <c r="J52" s="9"/>
      <c r="K52" s="9"/>
    </row>
    <row r="53" spans="1:11" x14ac:dyDescent="0.25">
      <c r="A53" t="s">
        <v>195</v>
      </c>
      <c r="B53">
        <f>(15.085*1055/1000)-B54</f>
        <v>14.763201111111112</v>
      </c>
      <c r="C53" t="s">
        <v>20</v>
      </c>
      <c r="E53" t="s">
        <v>4</v>
      </c>
      <c r="F53" t="s">
        <v>15</v>
      </c>
      <c r="G53" t="s">
        <v>196</v>
      </c>
      <c r="H53" s="9"/>
      <c r="I53" s="9"/>
      <c r="J53" s="9"/>
      <c r="K53" s="9"/>
    </row>
    <row r="54" spans="1:11" x14ac:dyDescent="0.25">
      <c r="A54" t="s">
        <v>19</v>
      </c>
      <c r="B54" s="5">
        <f>params!H9</f>
        <v>1.1514738888888889</v>
      </c>
      <c r="C54" t="s">
        <v>20</v>
      </c>
      <c r="E54" t="s">
        <v>43</v>
      </c>
      <c r="F54" t="s">
        <v>15</v>
      </c>
      <c r="G54" t="s">
        <v>21</v>
      </c>
      <c r="H54" s="9"/>
      <c r="I54" s="9"/>
      <c r="J54" s="9"/>
      <c r="K54" s="9"/>
    </row>
    <row r="55" spans="1:11" x14ac:dyDescent="0.25">
      <c r="A55" t="s">
        <v>120</v>
      </c>
      <c r="B55" s="16">
        <f>10.205*1055/1000</f>
        <v>10.766275</v>
      </c>
      <c r="C55" t="s">
        <v>31</v>
      </c>
      <c r="E55" t="s">
        <v>17</v>
      </c>
      <c r="F55" t="s">
        <v>15</v>
      </c>
      <c r="G55" t="s">
        <v>80</v>
      </c>
    </row>
    <row r="56" spans="1:11" x14ac:dyDescent="0.25">
      <c r="A56" t="s">
        <v>16</v>
      </c>
      <c r="B56" s="16">
        <f>22142*params!L15/1000</f>
        <v>83.816326799999999</v>
      </c>
      <c r="C56" t="s">
        <v>8</v>
      </c>
      <c r="E56" t="s">
        <v>17</v>
      </c>
      <c r="F56" t="s">
        <v>15</v>
      </c>
      <c r="G56" t="s">
        <v>18</v>
      </c>
    </row>
    <row r="57" spans="1:11" x14ac:dyDescent="0.25">
      <c r="A57" t="s">
        <v>107</v>
      </c>
      <c r="B57" s="15">
        <v>1.1990000000000001</v>
      </c>
      <c r="C57" s="9" t="s">
        <v>8</v>
      </c>
      <c r="E57" s="9" t="s">
        <v>4</v>
      </c>
      <c r="F57" s="9" t="s">
        <v>15</v>
      </c>
      <c r="G57" t="s">
        <v>108</v>
      </c>
    </row>
    <row r="58" spans="1:11" x14ac:dyDescent="0.25">
      <c r="A58" t="s">
        <v>56</v>
      </c>
      <c r="B58" s="16">
        <v>1.581</v>
      </c>
      <c r="C58" t="s">
        <v>8</v>
      </c>
      <c r="E58" t="s">
        <v>17</v>
      </c>
      <c r="F58" t="s">
        <v>15</v>
      </c>
      <c r="G58" t="s">
        <v>57</v>
      </c>
    </row>
    <row r="59" spans="1:11" x14ac:dyDescent="0.25">
      <c r="A59" t="s">
        <v>83</v>
      </c>
      <c r="B59" s="16">
        <v>0.57699999999999996</v>
      </c>
      <c r="C59" t="s">
        <v>8</v>
      </c>
      <c r="E59" t="s">
        <v>17</v>
      </c>
      <c r="F59" t="s">
        <v>15</v>
      </c>
      <c r="G59" t="s">
        <v>84</v>
      </c>
    </row>
    <row r="60" spans="1:11" x14ac:dyDescent="0.25">
      <c r="A60" t="s">
        <v>44</v>
      </c>
      <c r="B60" s="16">
        <v>1.1080000000000001</v>
      </c>
      <c r="C60" t="s">
        <v>8</v>
      </c>
      <c r="E60" t="s">
        <v>4</v>
      </c>
      <c r="F60" t="s">
        <v>15</v>
      </c>
      <c r="G60" t="s">
        <v>45</v>
      </c>
    </row>
    <row r="61" spans="1:11" x14ac:dyDescent="0.25">
      <c r="A61" t="s">
        <v>105</v>
      </c>
      <c r="B61" s="15">
        <v>0.44700000000000001</v>
      </c>
      <c r="C61" s="9" t="s">
        <v>8</v>
      </c>
      <c r="E61" s="9" t="s">
        <v>4</v>
      </c>
      <c r="F61" s="9" t="s">
        <v>15</v>
      </c>
      <c r="G61" t="s">
        <v>106</v>
      </c>
    </row>
    <row r="62" spans="1:11" x14ac:dyDescent="0.25">
      <c r="A62" t="s">
        <v>52</v>
      </c>
      <c r="B62" s="16">
        <v>0.97699999999999998</v>
      </c>
      <c r="C62" t="s">
        <v>8</v>
      </c>
      <c r="E62" t="s">
        <v>17</v>
      </c>
      <c r="F62" t="s">
        <v>15</v>
      </c>
      <c r="G62" t="s">
        <v>53</v>
      </c>
    </row>
    <row r="63" spans="1:11" x14ac:dyDescent="0.25">
      <c r="A63" t="s">
        <v>58</v>
      </c>
      <c r="B63" s="16">
        <v>0.53600000000000003</v>
      </c>
      <c r="C63" t="s">
        <v>8</v>
      </c>
      <c r="E63" t="s">
        <v>17</v>
      </c>
      <c r="F63" t="s">
        <v>15</v>
      </c>
      <c r="G63" t="s">
        <v>59</v>
      </c>
    </row>
    <row r="64" spans="1:11" x14ac:dyDescent="0.25">
      <c r="A64" t="s">
        <v>60</v>
      </c>
      <c r="B64" s="16">
        <v>1.7999999999999999E-2</v>
      </c>
      <c r="C64" t="s">
        <v>8</v>
      </c>
      <c r="E64" t="s">
        <v>17</v>
      </c>
      <c r="F64" t="s">
        <v>15</v>
      </c>
      <c r="G64" t="s">
        <v>61</v>
      </c>
    </row>
    <row r="65" spans="1:11" x14ac:dyDescent="0.25">
      <c r="A65" t="s">
        <v>62</v>
      </c>
      <c r="B65" s="16">
        <v>0.03</v>
      </c>
      <c r="C65" t="s">
        <v>8</v>
      </c>
      <c r="E65" t="s">
        <v>4</v>
      </c>
      <c r="F65" t="s">
        <v>15</v>
      </c>
      <c r="G65" t="s">
        <v>62</v>
      </c>
    </row>
    <row r="66" spans="1:11" x14ac:dyDescent="0.25">
      <c r="A66" t="s">
        <v>121</v>
      </c>
      <c r="B66" s="16">
        <v>0.218</v>
      </c>
      <c r="C66" t="s">
        <v>8</v>
      </c>
      <c r="E66" t="s">
        <v>17</v>
      </c>
      <c r="F66" t="s">
        <v>15</v>
      </c>
      <c r="G66" t="s">
        <v>122</v>
      </c>
    </row>
    <row r="67" spans="1:11" x14ac:dyDescent="0.25">
      <c r="A67" t="s">
        <v>123</v>
      </c>
      <c r="B67" s="16">
        <v>3.4000000000000002E-2</v>
      </c>
      <c r="C67" t="s">
        <v>8</v>
      </c>
      <c r="E67" t="s">
        <v>4</v>
      </c>
      <c r="F67" t="s">
        <v>15</v>
      </c>
      <c r="G67" t="s">
        <v>124</v>
      </c>
    </row>
    <row r="68" spans="1:11" x14ac:dyDescent="0.25">
      <c r="A68" t="s">
        <v>73</v>
      </c>
      <c r="B68" s="15">
        <f>10936/1000/1000</f>
        <v>1.0936E-2</v>
      </c>
      <c r="C68" s="9" t="s">
        <v>8</v>
      </c>
      <c r="D68" t="s">
        <v>39</v>
      </c>
      <c r="F68" s="9" t="s">
        <v>40</v>
      </c>
    </row>
    <row r="69" spans="1:11" x14ac:dyDescent="0.25">
      <c r="A69" t="s">
        <v>112</v>
      </c>
      <c r="B69" s="15">
        <f>-22*1.08</f>
        <v>-23.76</v>
      </c>
      <c r="C69" s="9" t="s">
        <v>8</v>
      </c>
      <c r="E69" s="9" t="s">
        <v>4</v>
      </c>
      <c r="F69" s="9" t="s">
        <v>15</v>
      </c>
      <c r="G69" t="s">
        <v>85</v>
      </c>
    </row>
    <row r="70" spans="1:11" x14ac:dyDescent="0.25">
      <c r="A70" t="s">
        <v>113</v>
      </c>
      <c r="B70" s="15">
        <f>-22*1.08</f>
        <v>-23.76</v>
      </c>
      <c r="C70" s="9" t="s">
        <v>8</v>
      </c>
      <c r="E70" s="9" t="s">
        <v>114</v>
      </c>
      <c r="F70" s="9" t="s">
        <v>15</v>
      </c>
      <c r="G70" t="s">
        <v>115</v>
      </c>
    </row>
    <row r="71" spans="1:11" x14ac:dyDescent="0.25">
      <c r="A71" t="s">
        <v>92</v>
      </c>
      <c r="B71">
        <f>2.38921785984693*0.38</f>
        <v>0.90790278674183345</v>
      </c>
      <c r="C71" t="s">
        <v>8</v>
      </c>
      <c r="D71" t="s">
        <v>91</v>
      </c>
      <c r="F71" t="s">
        <v>40</v>
      </c>
    </row>
    <row r="72" spans="1:11" x14ac:dyDescent="0.25">
      <c r="A72" t="s">
        <v>187</v>
      </c>
      <c r="B72">
        <f>0.013976542015926*0.38</f>
        <v>5.3110859660518801E-3</v>
      </c>
      <c r="C72" t="s">
        <v>188</v>
      </c>
      <c r="D72" t="s">
        <v>189</v>
      </c>
      <c r="F72" t="s">
        <v>40</v>
      </c>
    </row>
    <row r="73" spans="1:11" x14ac:dyDescent="0.25">
      <c r="A73" t="s">
        <v>190</v>
      </c>
      <c r="B73">
        <f>0.000805316789123233*0.38</f>
        <v>3.0602037986682859E-4</v>
      </c>
      <c r="C73" t="s">
        <v>191</v>
      </c>
      <c r="D73" t="s">
        <v>189</v>
      </c>
      <c r="F73" t="s">
        <v>40</v>
      </c>
    </row>
    <row r="74" spans="1:11" x14ac:dyDescent="0.25">
      <c r="A74" t="s">
        <v>192</v>
      </c>
      <c r="B74">
        <f>0.000464599534598369*0.38</f>
        <v>1.7654782314738022E-4</v>
      </c>
      <c r="C74" t="s">
        <v>191</v>
      </c>
      <c r="D74" t="s">
        <v>189</v>
      </c>
      <c r="F74" t="s">
        <v>40</v>
      </c>
    </row>
    <row r="76" spans="1:11" ht="15.75" x14ac:dyDescent="0.25">
      <c r="A76" s="8" t="s">
        <v>0</v>
      </c>
      <c r="B76" s="8" t="s">
        <v>127</v>
      </c>
      <c r="C76" s="8"/>
      <c r="D76" s="9"/>
      <c r="E76" s="9"/>
      <c r="F76" s="9"/>
      <c r="G76" s="9"/>
      <c r="H76" s="9"/>
      <c r="I76" s="9"/>
      <c r="J76" s="9"/>
      <c r="K76" s="9"/>
    </row>
    <row r="77" spans="1:11" x14ac:dyDescent="0.25">
      <c r="A77" s="9" t="s">
        <v>3</v>
      </c>
      <c r="B77" s="9" t="s">
        <v>43</v>
      </c>
      <c r="C77" s="9"/>
      <c r="D77" s="9"/>
      <c r="E77" s="9"/>
      <c r="F77" s="9"/>
      <c r="G77" s="9"/>
      <c r="H77" s="9"/>
      <c r="I77" s="9"/>
      <c r="J77" s="9"/>
      <c r="K77" s="9"/>
    </row>
    <row r="78" spans="1:11" x14ac:dyDescent="0.25">
      <c r="A78" s="9" t="s">
        <v>5</v>
      </c>
      <c r="B78" s="9">
        <v>1</v>
      </c>
      <c r="C78" s="9"/>
      <c r="D78" s="9"/>
      <c r="E78" s="9"/>
      <c r="F78" s="9"/>
      <c r="G78" s="9"/>
      <c r="H78" s="9"/>
      <c r="I78" s="9"/>
      <c r="J78" s="9"/>
      <c r="K78" s="9"/>
    </row>
    <row r="79" spans="1:11" x14ac:dyDescent="0.25">
      <c r="A79" s="9" t="s">
        <v>6</v>
      </c>
      <c r="B79" s="9" t="s">
        <v>125</v>
      </c>
      <c r="C79" s="9"/>
      <c r="D79" s="9"/>
      <c r="E79" s="9"/>
      <c r="F79" s="9"/>
      <c r="G79" s="9"/>
      <c r="H79" s="9"/>
      <c r="I79" s="9"/>
      <c r="J79" s="9"/>
      <c r="K79" s="9"/>
    </row>
    <row r="80" spans="1:11" x14ac:dyDescent="0.25">
      <c r="A80" s="9" t="s">
        <v>7</v>
      </c>
      <c r="B80" s="9" t="s">
        <v>8</v>
      </c>
      <c r="C80" s="9"/>
      <c r="D80" s="9"/>
      <c r="E80" s="9"/>
      <c r="F80" s="9"/>
      <c r="G80" s="9"/>
      <c r="H80" s="9"/>
      <c r="I80" s="9"/>
      <c r="J80" s="9"/>
      <c r="K80" s="9"/>
    </row>
    <row r="81" spans="1:11" x14ac:dyDescent="0.25">
      <c r="A81" s="9" t="s">
        <v>1</v>
      </c>
      <c r="B81" s="50" t="s">
        <v>193</v>
      </c>
      <c r="C81" s="9"/>
      <c r="D81" s="9"/>
      <c r="E81" s="9"/>
      <c r="F81" s="9"/>
      <c r="G81" s="9"/>
      <c r="H81" s="9"/>
      <c r="I81" s="9"/>
      <c r="J81" s="9"/>
      <c r="K81" s="9"/>
    </row>
    <row r="82" spans="1:11" x14ac:dyDescent="0.25">
      <c r="A82" s="10" t="s">
        <v>10</v>
      </c>
      <c r="B82" s="9"/>
      <c r="C82" s="9"/>
      <c r="D82" s="9"/>
      <c r="E82" s="9"/>
      <c r="F82" s="9"/>
      <c r="G82" s="9"/>
      <c r="H82" s="9"/>
      <c r="I82" s="9"/>
      <c r="J82" s="9"/>
      <c r="K82" s="9"/>
    </row>
    <row r="83" spans="1:11" x14ac:dyDescent="0.25">
      <c r="A83" s="9" t="s">
        <v>11</v>
      </c>
      <c r="B83" s="9" t="s">
        <v>12</v>
      </c>
      <c r="C83" s="9" t="s">
        <v>7</v>
      </c>
      <c r="D83" s="9" t="s">
        <v>36</v>
      </c>
      <c r="E83" s="9" t="s">
        <v>3</v>
      </c>
      <c r="F83" s="9" t="s">
        <v>13</v>
      </c>
      <c r="G83" s="9" t="s">
        <v>6</v>
      </c>
      <c r="H83" s="9"/>
      <c r="I83" s="9"/>
      <c r="J83" s="9"/>
      <c r="K83" s="9"/>
    </row>
    <row r="84" spans="1:11" x14ac:dyDescent="0.25">
      <c r="A84" s="9" t="s">
        <v>127</v>
      </c>
      <c r="B84" s="9">
        <v>1</v>
      </c>
      <c r="C84" s="9" t="s">
        <v>8</v>
      </c>
      <c r="D84" s="9"/>
      <c r="E84" s="9" t="s">
        <v>43</v>
      </c>
      <c r="F84" s="9" t="s">
        <v>14</v>
      </c>
      <c r="G84" s="9" t="s">
        <v>125</v>
      </c>
      <c r="H84" s="9"/>
      <c r="I84" s="9"/>
      <c r="J84" s="9"/>
      <c r="K84" s="9"/>
    </row>
    <row r="85" spans="1:11" x14ac:dyDescent="0.25">
      <c r="A85" s="9" t="s">
        <v>90</v>
      </c>
      <c r="B85" s="11">
        <v>1.2</v>
      </c>
      <c r="C85" s="9" t="s">
        <v>8</v>
      </c>
      <c r="D85" s="9" t="s">
        <v>91</v>
      </c>
      <c r="E85" s="9"/>
      <c r="F85" s="9" t="s">
        <v>40</v>
      </c>
      <c r="G85" s="9"/>
      <c r="H85" s="9"/>
      <c r="I85" s="9"/>
      <c r="J85" s="9"/>
      <c r="K85" s="9"/>
    </row>
    <row r="86" spans="1:11" x14ac:dyDescent="0.25">
      <c r="A86" t="s">
        <v>81</v>
      </c>
      <c r="B86" s="12">
        <f>21.571*1055/1000</f>
        <v>22.757405000000002</v>
      </c>
      <c r="C86" s="9" t="s">
        <v>31</v>
      </c>
      <c r="E86" t="s">
        <v>4</v>
      </c>
      <c r="F86" s="9" t="s">
        <v>15</v>
      </c>
      <c r="G86" t="s">
        <v>82</v>
      </c>
      <c r="H86" s="9"/>
      <c r="I86" s="9"/>
      <c r="J86" s="9"/>
      <c r="K86" s="9"/>
    </row>
    <row r="87" spans="1:11" x14ac:dyDescent="0.25">
      <c r="A87" t="s">
        <v>96</v>
      </c>
      <c r="B87" s="11">
        <f>55849/1000/1000</f>
        <v>5.5848999999999996E-2</v>
      </c>
      <c r="C87" s="9" t="s">
        <v>8</v>
      </c>
      <c r="D87" s="9" t="s">
        <v>39</v>
      </c>
      <c r="F87" s="9" t="s">
        <v>40</v>
      </c>
      <c r="H87" s="9"/>
      <c r="I87" s="9"/>
      <c r="J87" s="9"/>
      <c r="K87" s="9"/>
    </row>
    <row r="88" spans="1:11" x14ac:dyDescent="0.25">
      <c r="A88" t="s">
        <v>97</v>
      </c>
      <c r="B88" s="12">
        <f>5764/1000/1000</f>
        <v>5.764E-3</v>
      </c>
      <c r="C88" s="9" t="s">
        <v>8</v>
      </c>
      <c r="D88" s="9" t="s">
        <v>39</v>
      </c>
      <c r="F88" s="9" t="s">
        <v>40</v>
      </c>
      <c r="H88" s="9"/>
      <c r="I88" s="9"/>
      <c r="J88" s="9"/>
      <c r="K88" s="9"/>
    </row>
    <row r="89" spans="1:11" x14ac:dyDescent="0.25">
      <c r="A89" t="s">
        <v>195</v>
      </c>
      <c r="B89">
        <f>(27.571*1055/1000)-B90</f>
        <v>24.535931111111115</v>
      </c>
      <c r="C89" t="s">
        <v>20</v>
      </c>
      <c r="E89" t="s">
        <v>4</v>
      </c>
      <c r="F89" t="s">
        <v>15</v>
      </c>
      <c r="G89" t="s">
        <v>196</v>
      </c>
      <c r="H89" s="9"/>
      <c r="I89" s="9"/>
      <c r="J89" s="9"/>
      <c r="K89" s="9"/>
    </row>
    <row r="90" spans="1:11" x14ac:dyDescent="0.25">
      <c r="A90" t="s">
        <v>19</v>
      </c>
      <c r="B90" s="5">
        <f>params!I9+params!H9</f>
        <v>4.5514738888888893</v>
      </c>
      <c r="C90" t="s">
        <v>20</v>
      </c>
      <c r="E90" t="s">
        <v>43</v>
      </c>
      <c r="F90" t="s">
        <v>15</v>
      </c>
      <c r="G90" t="s">
        <v>21</v>
      </c>
      <c r="H90" s="9"/>
      <c r="I90" s="9"/>
      <c r="J90" s="9"/>
      <c r="K90" s="9"/>
    </row>
    <row r="91" spans="1:11" x14ac:dyDescent="0.25">
      <c r="A91" t="s">
        <v>120</v>
      </c>
      <c r="B91" s="16">
        <f>26.838*1055/1000</f>
        <v>28.31409</v>
      </c>
      <c r="C91" t="s">
        <v>31</v>
      </c>
      <c r="E91" t="s">
        <v>17</v>
      </c>
      <c r="F91" t="s">
        <v>15</v>
      </c>
      <c r="G91" t="s">
        <v>80</v>
      </c>
    </row>
    <row r="92" spans="1:11" x14ac:dyDescent="0.25">
      <c r="A92" t="s">
        <v>16</v>
      </c>
      <c r="B92" s="16">
        <f>23850*params!L15/1000</f>
        <v>90.281790000000015</v>
      </c>
      <c r="C92" t="s">
        <v>8</v>
      </c>
      <c r="E92" t="s">
        <v>17</v>
      </c>
      <c r="F92" t="s">
        <v>15</v>
      </c>
      <c r="G92" t="s">
        <v>18</v>
      </c>
    </row>
    <row r="93" spans="1:11" x14ac:dyDescent="0.25">
      <c r="A93" t="s">
        <v>107</v>
      </c>
      <c r="B93" s="15">
        <v>0.72099999999999997</v>
      </c>
      <c r="C93" s="9" t="s">
        <v>8</v>
      </c>
      <c r="E93" s="9" t="s">
        <v>4</v>
      </c>
      <c r="F93" s="9" t="s">
        <v>15</v>
      </c>
      <c r="G93" t="s">
        <v>108</v>
      </c>
    </row>
    <row r="94" spans="1:11" x14ac:dyDescent="0.25">
      <c r="A94" t="s">
        <v>56</v>
      </c>
      <c r="B94" s="16">
        <v>0.99399999999999999</v>
      </c>
      <c r="C94" t="s">
        <v>8</v>
      </c>
      <c r="E94" t="s">
        <v>17</v>
      </c>
      <c r="F94" t="s">
        <v>15</v>
      </c>
      <c r="G94" t="s">
        <v>57</v>
      </c>
    </row>
    <row r="95" spans="1:11" x14ac:dyDescent="0.25">
      <c r="A95" t="s">
        <v>83</v>
      </c>
      <c r="B95" s="16">
        <v>0.36399999999999999</v>
      </c>
      <c r="C95" t="s">
        <v>8</v>
      </c>
      <c r="E95" t="s">
        <v>17</v>
      </c>
      <c r="F95" t="s">
        <v>15</v>
      </c>
      <c r="G95" t="s">
        <v>84</v>
      </c>
    </row>
    <row r="96" spans="1:11" x14ac:dyDescent="0.25">
      <c r="A96" t="s">
        <v>44</v>
      </c>
      <c r="B96" s="16">
        <v>2.7759999999999998</v>
      </c>
      <c r="C96" t="s">
        <v>8</v>
      </c>
      <c r="E96" t="s">
        <v>4</v>
      </c>
      <c r="F96" t="s">
        <v>15</v>
      </c>
      <c r="G96" t="s">
        <v>45</v>
      </c>
    </row>
    <row r="97" spans="1:11" x14ac:dyDescent="0.25">
      <c r="A97" t="s">
        <v>105</v>
      </c>
      <c r="B97" s="15">
        <v>1.175</v>
      </c>
      <c r="C97" s="9" t="s">
        <v>8</v>
      </c>
      <c r="E97" s="9" t="s">
        <v>4</v>
      </c>
      <c r="F97" s="9" t="s">
        <v>15</v>
      </c>
      <c r="G97" t="s">
        <v>106</v>
      </c>
    </row>
    <row r="98" spans="1:11" x14ac:dyDescent="0.25">
      <c r="A98" t="s">
        <v>52</v>
      </c>
      <c r="B98" s="16">
        <v>2.57</v>
      </c>
      <c r="C98" t="s">
        <v>8</v>
      </c>
      <c r="E98" t="s">
        <v>17</v>
      </c>
      <c r="F98" t="s">
        <v>15</v>
      </c>
      <c r="G98" t="s">
        <v>53</v>
      </c>
    </row>
    <row r="99" spans="1:11" x14ac:dyDescent="0.25">
      <c r="A99" t="s">
        <v>58</v>
      </c>
      <c r="B99" s="16">
        <v>1.409</v>
      </c>
      <c r="C99" t="s">
        <v>8</v>
      </c>
      <c r="E99" t="s">
        <v>17</v>
      </c>
      <c r="F99" t="s">
        <v>15</v>
      </c>
      <c r="G99" t="s">
        <v>59</v>
      </c>
    </row>
    <row r="100" spans="1:11" x14ac:dyDescent="0.25">
      <c r="A100" t="s">
        <v>60</v>
      </c>
      <c r="B100" s="16">
        <v>4.7E-2</v>
      </c>
      <c r="C100" t="s">
        <v>8</v>
      </c>
      <c r="E100" t="s">
        <v>17</v>
      </c>
      <c r="F100" t="s">
        <v>15</v>
      </c>
      <c r="G100" t="s">
        <v>61</v>
      </c>
    </row>
    <row r="101" spans="1:11" x14ac:dyDescent="0.25">
      <c r="A101" t="s">
        <v>62</v>
      </c>
      <c r="B101" s="16">
        <v>0.08</v>
      </c>
      <c r="C101" t="s">
        <v>8</v>
      </c>
      <c r="E101" t="s">
        <v>4</v>
      </c>
      <c r="F101" t="s">
        <v>15</v>
      </c>
      <c r="G101" t="s">
        <v>62</v>
      </c>
    </row>
    <row r="102" spans="1:11" x14ac:dyDescent="0.25">
      <c r="A102" t="s">
        <v>121</v>
      </c>
      <c r="B102" s="16">
        <v>0.57399999999999995</v>
      </c>
      <c r="C102" t="s">
        <v>8</v>
      </c>
      <c r="E102" t="s">
        <v>17</v>
      </c>
      <c r="F102" t="s">
        <v>15</v>
      </c>
      <c r="G102" t="s">
        <v>122</v>
      </c>
    </row>
    <row r="103" spans="1:11" x14ac:dyDescent="0.25">
      <c r="A103" t="s">
        <v>123</v>
      </c>
      <c r="B103" s="16">
        <v>8.7999999999999995E-2</v>
      </c>
      <c r="C103" t="s">
        <v>8</v>
      </c>
      <c r="E103" t="s">
        <v>4</v>
      </c>
      <c r="F103" t="s">
        <v>15</v>
      </c>
      <c r="G103" t="s">
        <v>124</v>
      </c>
    </row>
    <row r="104" spans="1:11" x14ac:dyDescent="0.25">
      <c r="A104" t="s">
        <v>73</v>
      </c>
      <c r="B104" s="15">
        <f>6575/1000/1000</f>
        <v>6.5750000000000001E-3</v>
      </c>
      <c r="C104" s="9" t="s">
        <v>8</v>
      </c>
      <c r="D104" t="s">
        <v>39</v>
      </c>
      <c r="F104" s="9" t="s">
        <v>40</v>
      </c>
    </row>
    <row r="105" spans="1:11" x14ac:dyDescent="0.25">
      <c r="A105" t="s">
        <v>112</v>
      </c>
      <c r="B105" s="15">
        <f>-22*1.08*2.63</f>
        <v>-62.488800000000005</v>
      </c>
      <c r="C105" s="9" t="s">
        <v>8</v>
      </c>
      <c r="E105" s="9" t="s">
        <v>4</v>
      </c>
      <c r="F105" s="9" t="s">
        <v>15</v>
      </c>
      <c r="G105" t="s">
        <v>85</v>
      </c>
    </row>
    <row r="106" spans="1:11" x14ac:dyDescent="0.25">
      <c r="A106" t="s">
        <v>113</v>
      </c>
      <c r="B106" s="15">
        <f>-22*1.08*2.63</f>
        <v>-62.488800000000005</v>
      </c>
      <c r="C106" s="9" t="s">
        <v>8</v>
      </c>
      <c r="E106" s="9" t="s">
        <v>114</v>
      </c>
      <c r="F106" s="9" t="s">
        <v>15</v>
      </c>
      <c r="G106" t="s">
        <v>115</v>
      </c>
    </row>
    <row r="107" spans="1:11" x14ac:dyDescent="0.25">
      <c r="A107" t="s">
        <v>92</v>
      </c>
      <c r="B107">
        <v>2.389217859846934</v>
      </c>
      <c r="C107" t="s">
        <v>8</v>
      </c>
      <c r="D107" t="s">
        <v>91</v>
      </c>
      <c r="F107" t="s">
        <v>40</v>
      </c>
    </row>
    <row r="108" spans="1:11" x14ac:dyDescent="0.25">
      <c r="A108" t="s">
        <v>187</v>
      </c>
      <c r="B108">
        <v>1.3976542015925989E-2</v>
      </c>
      <c r="C108" t="s">
        <v>188</v>
      </c>
      <c r="D108" t="s">
        <v>189</v>
      </c>
      <c r="F108" t="s">
        <v>40</v>
      </c>
    </row>
    <row r="109" spans="1:11" x14ac:dyDescent="0.25">
      <c r="A109" t="s">
        <v>190</v>
      </c>
      <c r="B109">
        <v>8.0531678912323294E-4</v>
      </c>
      <c r="C109" t="s">
        <v>191</v>
      </c>
      <c r="D109" t="s">
        <v>189</v>
      </c>
      <c r="F109" t="s">
        <v>40</v>
      </c>
    </row>
    <row r="110" spans="1:11" x14ac:dyDescent="0.25">
      <c r="A110" t="s">
        <v>192</v>
      </c>
      <c r="B110">
        <v>4.6459953459836861E-4</v>
      </c>
      <c r="C110" t="s">
        <v>191</v>
      </c>
      <c r="D110" t="s">
        <v>189</v>
      </c>
      <c r="F110" t="s">
        <v>40</v>
      </c>
    </row>
    <row r="111" spans="1:11" x14ac:dyDescent="0.25">
      <c r="B111" s="15"/>
      <c r="C111" s="9"/>
      <c r="F111" s="9"/>
    </row>
    <row r="112" spans="1:11" x14ac:dyDescent="0.25">
      <c r="A112" s="9"/>
      <c r="B112" s="9"/>
      <c r="C112" s="9"/>
      <c r="D112" s="9"/>
      <c r="E112" s="9"/>
      <c r="F112" s="9"/>
      <c r="G112" s="9"/>
      <c r="H112" s="9"/>
      <c r="I112" s="9"/>
      <c r="J112" s="9"/>
      <c r="K112" s="9"/>
    </row>
    <row r="113" spans="1:11" ht="15.75" x14ac:dyDescent="0.25">
      <c r="A113" s="8" t="s">
        <v>0</v>
      </c>
      <c r="B113" s="8" t="s">
        <v>128</v>
      </c>
      <c r="C113" s="8"/>
      <c r="D113" s="9"/>
      <c r="E113" s="9"/>
      <c r="F113" s="9"/>
      <c r="G113" s="9"/>
      <c r="H113" s="9"/>
      <c r="I113" s="9"/>
      <c r="J113" s="9"/>
      <c r="K113" s="9"/>
    </row>
    <row r="114" spans="1:11" x14ac:dyDescent="0.25">
      <c r="A114" s="9" t="s">
        <v>3</v>
      </c>
      <c r="B114" s="9" t="s">
        <v>43</v>
      </c>
      <c r="C114" s="9"/>
      <c r="D114" s="9"/>
      <c r="E114" s="9"/>
      <c r="F114" s="9"/>
      <c r="G114" s="9"/>
      <c r="H114" s="9"/>
      <c r="I114" s="9"/>
      <c r="J114" s="9"/>
      <c r="K114" s="9"/>
    </row>
    <row r="115" spans="1:11" x14ac:dyDescent="0.25">
      <c r="A115" s="9" t="s">
        <v>5</v>
      </c>
      <c r="B115" s="9">
        <v>1</v>
      </c>
      <c r="C115" s="9"/>
      <c r="D115" s="9"/>
      <c r="E115" s="9"/>
      <c r="F115" s="9"/>
      <c r="G115" s="9"/>
      <c r="H115" s="9"/>
      <c r="I115" s="9"/>
      <c r="J115" s="9"/>
      <c r="K115" s="9"/>
    </row>
    <row r="116" spans="1:11" x14ac:dyDescent="0.25">
      <c r="A116" s="9" t="s">
        <v>6</v>
      </c>
      <c r="B116" s="9" t="s">
        <v>125</v>
      </c>
      <c r="C116" s="9"/>
      <c r="D116" s="9"/>
      <c r="E116" s="9"/>
      <c r="F116" s="9"/>
      <c r="G116" s="9"/>
      <c r="H116" s="9"/>
      <c r="I116" s="9"/>
      <c r="J116" s="9"/>
      <c r="K116" s="9"/>
    </row>
    <row r="117" spans="1:11" x14ac:dyDescent="0.25">
      <c r="A117" s="9" t="s">
        <v>7</v>
      </c>
      <c r="B117" s="9" t="s">
        <v>8</v>
      </c>
      <c r="C117" s="9"/>
      <c r="D117" s="9"/>
      <c r="E117" s="9"/>
      <c r="F117" s="9"/>
      <c r="G117" s="9"/>
      <c r="H117" s="9"/>
      <c r="I117" s="9"/>
      <c r="J117" s="9"/>
      <c r="K117" s="9"/>
    </row>
    <row r="118" spans="1:11" x14ac:dyDescent="0.25">
      <c r="A118" s="9" t="s">
        <v>1</v>
      </c>
      <c r="B118" s="50" t="s">
        <v>194</v>
      </c>
      <c r="C118" s="9"/>
      <c r="D118" s="9"/>
      <c r="E118" s="9"/>
      <c r="F118" s="9"/>
      <c r="G118" s="9"/>
      <c r="H118" s="9"/>
      <c r="I118" s="9"/>
      <c r="J118" s="9"/>
      <c r="K118" s="9"/>
    </row>
    <row r="119" spans="1:11" x14ac:dyDescent="0.25">
      <c r="A119" s="10" t="s">
        <v>10</v>
      </c>
      <c r="B119" s="9"/>
      <c r="C119" s="9"/>
      <c r="D119" s="9"/>
      <c r="E119" s="9"/>
      <c r="F119" s="9"/>
      <c r="G119" s="9"/>
      <c r="H119" s="9"/>
      <c r="I119" s="9"/>
      <c r="J119" s="9"/>
      <c r="K119" s="9"/>
    </row>
    <row r="120" spans="1:11" x14ac:dyDescent="0.25">
      <c r="A120" s="9" t="s">
        <v>11</v>
      </c>
      <c r="B120" s="9" t="s">
        <v>12</v>
      </c>
      <c r="C120" s="9" t="s">
        <v>7</v>
      </c>
      <c r="D120" s="9" t="s">
        <v>36</v>
      </c>
      <c r="E120" s="9" t="s">
        <v>3</v>
      </c>
      <c r="F120" s="9" t="s">
        <v>13</v>
      </c>
      <c r="G120" s="9" t="s">
        <v>6</v>
      </c>
      <c r="H120" s="9"/>
      <c r="I120" s="9"/>
      <c r="J120" s="9"/>
      <c r="K120" s="9"/>
    </row>
    <row r="121" spans="1:11" x14ac:dyDescent="0.25">
      <c r="A121" s="9" t="s">
        <v>128</v>
      </c>
      <c r="B121" s="9">
        <v>1</v>
      </c>
      <c r="C121" s="9" t="s">
        <v>8</v>
      </c>
      <c r="D121" s="9"/>
      <c r="E121" s="9" t="s">
        <v>43</v>
      </c>
      <c r="F121" s="9" t="s">
        <v>14</v>
      </c>
      <c r="G121" s="9" t="s">
        <v>125</v>
      </c>
      <c r="H121" s="9"/>
      <c r="I121" s="9"/>
      <c r="J121" s="9"/>
      <c r="K121" s="9"/>
    </row>
    <row r="122" spans="1:11" x14ac:dyDescent="0.25">
      <c r="A122" s="9" t="s">
        <v>90</v>
      </c>
      <c r="B122" s="51">
        <v>1.2</v>
      </c>
      <c r="C122" s="9" t="s">
        <v>8</v>
      </c>
      <c r="D122" s="9" t="s">
        <v>91</v>
      </c>
      <c r="E122" s="9"/>
      <c r="F122" s="9" t="s">
        <v>40</v>
      </c>
      <c r="G122" s="9"/>
      <c r="H122" s="9"/>
      <c r="I122" s="9"/>
      <c r="J122" s="9"/>
      <c r="K122" s="9"/>
    </row>
    <row r="123" spans="1:11" x14ac:dyDescent="0.25">
      <c r="A123" t="s">
        <v>81</v>
      </c>
      <c r="B123" s="52">
        <f>70.909*1055/1000</f>
        <v>74.80899500000001</v>
      </c>
      <c r="C123" s="9" t="s">
        <v>31</v>
      </c>
      <c r="E123" t="s">
        <v>4</v>
      </c>
      <c r="F123" s="9" t="s">
        <v>15</v>
      </c>
      <c r="G123" t="s">
        <v>82</v>
      </c>
      <c r="H123" s="9"/>
      <c r="I123" s="9"/>
      <c r="J123" s="9"/>
      <c r="K123" s="9"/>
    </row>
    <row r="124" spans="1:11" x14ac:dyDescent="0.25">
      <c r="A124" t="s">
        <v>96</v>
      </c>
      <c r="B124" s="51">
        <f>183592/1000/1000</f>
        <v>0.18359200000000001</v>
      </c>
      <c r="C124" s="9" t="s">
        <v>8</v>
      </c>
      <c r="D124" s="9" t="s">
        <v>39</v>
      </c>
      <c r="F124" s="9" t="s">
        <v>40</v>
      </c>
      <c r="H124" s="9"/>
      <c r="I124" s="9"/>
      <c r="J124" s="9"/>
      <c r="K124" s="9"/>
    </row>
    <row r="125" spans="1:11" x14ac:dyDescent="0.25">
      <c r="A125" t="s">
        <v>97</v>
      </c>
      <c r="B125" s="52">
        <f>18949/1000/1000</f>
        <v>1.8949000000000001E-2</v>
      </c>
      <c r="C125" s="9" t="s">
        <v>8</v>
      </c>
      <c r="D125" s="9" t="s">
        <v>39</v>
      </c>
      <c r="F125" s="9" t="s">
        <v>40</v>
      </c>
      <c r="H125" s="9"/>
      <c r="I125" s="9"/>
      <c r="J125" s="9"/>
      <c r="K125" s="9"/>
    </row>
    <row r="126" spans="1:11" x14ac:dyDescent="0.25">
      <c r="A126" t="s">
        <v>195</v>
      </c>
      <c r="B126" s="52">
        <f>(50.198*1055/1000)-B127</f>
        <v>48.407416111111104</v>
      </c>
      <c r="C126" t="s">
        <v>20</v>
      </c>
      <c r="E126" t="s">
        <v>4</v>
      </c>
      <c r="F126" t="s">
        <v>15</v>
      </c>
      <c r="G126" t="s">
        <v>196</v>
      </c>
      <c r="H126" s="9"/>
      <c r="I126" s="9"/>
      <c r="J126" s="9"/>
      <c r="K126" s="9"/>
    </row>
    <row r="127" spans="1:11" x14ac:dyDescent="0.25">
      <c r="A127" t="s">
        <v>19</v>
      </c>
      <c r="B127" s="52">
        <f>params!I9+params!H9</f>
        <v>4.5514738888888893</v>
      </c>
      <c r="C127" t="s">
        <v>20</v>
      </c>
      <c r="E127" t="s">
        <v>43</v>
      </c>
      <c r="F127" t="s">
        <v>15</v>
      </c>
      <c r="G127" t="s">
        <v>21</v>
      </c>
      <c r="H127" s="9"/>
      <c r="I127" s="9"/>
      <c r="J127" s="9"/>
      <c r="K127" s="9"/>
    </row>
    <row r="128" spans="1:11" x14ac:dyDescent="0.25">
      <c r="A128" t="s">
        <v>120</v>
      </c>
      <c r="B128" s="52">
        <f>26.838*1055/1000</f>
        <v>28.31409</v>
      </c>
      <c r="C128" t="s">
        <v>31</v>
      </c>
      <c r="E128" t="s">
        <v>17</v>
      </c>
      <c r="F128" t="s">
        <v>15</v>
      </c>
      <c r="G128" t="s">
        <v>80</v>
      </c>
    </row>
    <row r="129" spans="1:7" x14ac:dyDescent="0.25">
      <c r="A129" t="s">
        <v>16</v>
      </c>
      <c r="B129" s="52">
        <f>58233*params!L15/1000</f>
        <v>220.4351982</v>
      </c>
      <c r="C129" t="s">
        <v>8</v>
      </c>
      <c r="E129" t="s">
        <v>17</v>
      </c>
      <c r="F129" t="s">
        <v>15</v>
      </c>
      <c r="G129" t="s">
        <v>18</v>
      </c>
    </row>
    <row r="130" spans="1:7" x14ac:dyDescent="0.25">
      <c r="A130" t="s">
        <v>107</v>
      </c>
      <c r="B130" s="51">
        <v>3.153</v>
      </c>
      <c r="C130" s="9" t="s">
        <v>8</v>
      </c>
      <c r="E130" s="9" t="s">
        <v>4</v>
      </c>
      <c r="F130" s="9" t="s">
        <v>15</v>
      </c>
      <c r="G130" t="s">
        <v>108</v>
      </c>
    </row>
    <row r="131" spans="1:7" x14ac:dyDescent="0.25">
      <c r="A131" t="s">
        <v>56</v>
      </c>
      <c r="B131" s="52">
        <v>4.1580000000000004</v>
      </c>
      <c r="C131" t="s">
        <v>8</v>
      </c>
      <c r="E131" t="s">
        <v>17</v>
      </c>
      <c r="F131" t="s">
        <v>15</v>
      </c>
      <c r="G131" t="s">
        <v>57</v>
      </c>
    </row>
    <row r="132" spans="1:7" x14ac:dyDescent="0.25">
      <c r="A132" t="s">
        <v>83</v>
      </c>
      <c r="B132" s="52">
        <v>1.516</v>
      </c>
      <c r="C132" t="s">
        <v>8</v>
      </c>
      <c r="E132" t="s">
        <v>17</v>
      </c>
      <c r="F132" t="s">
        <v>15</v>
      </c>
      <c r="G132" t="s">
        <v>84</v>
      </c>
    </row>
    <row r="133" spans="1:7" x14ac:dyDescent="0.25">
      <c r="A133" t="s">
        <v>44</v>
      </c>
      <c r="B133" s="52">
        <v>2.915</v>
      </c>
      <c r="C133" t="s">
        <v>8</v>
      </c>
      <c r="E133" t="s">
        <v>4</v>
      </c>
      <c r="F133" t="s">
        <v>15</v>
      </c>
      <c r="G133" t="s">
        <v>45</v>
      </c>
    </row>
    <row r="134" spans="1:7" x14ac:dyDescent="0.25">
      <c r="A134" t="s">
        <v>105</v>
      </c>
      <c r="B134" s="51">
        <v>1.175</v>
      </c>
      <c r="C134" s="9" t="s">
        <v>8</v>
      </c>
      <c r="E134" s="9" t="s">
        <v>4</v>
      </c>
      <c r="F134" s="9" t="s">
        <v>15</v>
      </c>
      <c r="G134" t="s">
        <v>106</v>
      </c>
    </row>
    <row r="135" spans="1:7" x14ac:dyDescent="0.25">
      <c r="A135" t="s">
        <v>52</v>
      </c>
      <c r="B135" s="52">
        <v>2.57</v>
      </c>
      <c r="C135" t="s">
        <v>8</v>
      </c>
      <c r="E135" t="s">
        <v>17</v>
      </c>
      <c r="F135" t="s">
        <v>15</v>
      </c>
      <c r="G135" t="s">
        <v>53</v>
      </c>
    </row>
    <row r="136" spans="1:7" x14ac:dyDescent="0.25">
      <c r="A136" t="s">
        <v>58</v>
      </c>
      <c r="B136" s="52">
        <v>1.409</v>
      </c>
      <c r="C136" t="s">
        <v>8</v>
      </c>
      <c r="E136" t="s">
        <v>17</v>
      </c>
      <c r="F136" t="s">
        <v>15</v>
      </c>
      <c r="G136" t="s">
        <v>59</v>
      </c>
    </row>
    <row r="137" spans="1:7" x14ac:dyDescent="0.25">
      <c r="A137" t="s">
        <v>60</v>
      </c>
      <c r="B137" s="52">
        <v>4.7E-2</v>
      </c>
      <c r="C137" t="s">
        <v>8</v>
      </c>
      <c r="E137" t="s">
        <v>17</v>
      </c>
      <c r="F137" t="s">
        <v>15</v>
      </c>
      <c r="G137" t="s">
        <v>61</v>
      </c>
    </row>
    <row r="138" spans="1:7" x14ac:dyDescent="0.25">
      <c r="A138" t="s">
        <v>62</v>
      </c>
      <c r="B138" s="52">
        <v>0.08</v>
      </c>
      <c r="C138" t="s">
        <v>8</v>
      </c>
      <c r="E138" t="s">
        <v>4</v>
      </c>
      <c r="F138" t="s">
        <v>15</v>
      </c>
      <c r="G138" t="s">
        <v>62</v>
      </c>
    </row>
    <row r="139" spans="1:7" x14ac:dyDescent="0.25">
      <c r="A139" t="s">
        <v>121</v>
      </c>
      <c r="B139" s="52">
        <v>0.57399999999999995</v>
      </c>
      <c r="C139" t="s">
        <v>8</v>
      </c>
      <c r="E139" t="s">
        <v>17</v>
      </c>
      <c r="F139" t="s">
        <v>15</v>
      </c>
      <c r="G139" t="s">
        <v>122</v>
      </c>
    </row>
    <row r="140" spans="1:7" x14ac:dyDescent="0.25">
      <c r="A140" t="s">
        <v>123</v>
      </c>
      <c r="B140" s="52">
        <v>8.7999999999999995E-2</v>
      </c>
      <c r="C140" t="s">
        <v>8</v>
      </c>
      <c r="E140" t="s">
        <v>4</v>
      </c>
      <c r="F140" t="s">
        <v>15</v>
      </c>
      <c r="G140" t="s">
        <v>124</v>
      </c>
    </row>
    <row r="141" spans="1:7" x14ac:dyDescent="0.25">
      <c r="A141" t="s">
        <v>73</v>
      </c>
      <c r="B141" s="51">
        <f>28760/1000/1000</f>
        <v>2.8760000000000001E-2</v>
      </c>
      <c r="C141" s="9" t="s">
        <v>8</v>
      </c>
      <c r="D141" t="s">
        <v>39</v>
      </c>
      <c r="F141" s="9" t="s">
        <v>40</v>
      </c>
    </row>
    <row r="142" spans="1:7" x14ac:dyDescent="0.25">
      <c r="A142" t="s">
        <v>112</v>
      </c>
      <c r="B142" s="51">
        <f>-22*1.08*2.63</f>
        <v>-62.488800000000005</v>
      </c>
      <c r="C142" s="9" t="s">
        <v>8</v>
      </c>
      <c r="E142" s="9" t="s">
        <v>4</v>
      </c>
      <c r="F142" s="9" t="s">
        <v>15</v>
      </c>
      <c r="G142" t="s">
        <v>85</v>
      </c>
    </row>
    <row r="143" spans="1:7" x14ac:dyDescent="0.25">
      <c r="A143" t="s">
        <v>113</v>
      </c>
      <c r="B143" s="51">
        <f>-22*1.08*2.63</f>
        <v>-62.488800000000005</v>
      </c>
      <c r="C143" s="9" t="s">
        <v>8</v>
      </c>
      <c r="E143" s="9" t="s">
        <v>114</v>
      </c>
      <c r="F143" s="9" t="s">
        <v>15</v>
      </c>
      <c r="G143" t="s">
        <v>115</v>
      </c>
    </row>
    <row r="144" spans="1:7" x14ac:dyDescent="0.25">
      <c r="A144" t="s">
        <v>92</v>
      </c>
      <c r="B144" s="52">
        <v>2.389217859846934</v>
      </c>
      <c r="C144" t="s">
        <v>8</v>
      </c>
      <c r="D144" t="s">
        <v>91</v>
      </c>
      <c r="F144" t="s">
        <v>40</v>
      </c>
    </row>
    <row r="145" spans="1:11" x14ac:dyDescent="0.25">
      <c r="A145" t="s">
        <v>187</v>
      </c>
      <c r="B145" s="52">
        <v>1.3976542015925989E-2</v>
      </c>
      <c r="C145" t="s">
        <v>188</v>
      </c>
      <c r="D145" t="s">
        <v>189</v>
      </c>
      <c r="F145" t="s">
        <v>40</v>
      </c>
    </row>
    <row r="146" spans="1:11" x14ac:dyDescent="0.25">
      <c r="A146" t="s">
        <v>190</v>
      </c>
      <c r="B146" s="52">
        <v>8.0531678912323294E-4</v>
      </c>
      <c r="C146" t="s">
        <v>191</v>
      </c>
      <c r="D146" t="s">
        <v>189</v>
      </c>
      <c r="F146" t="s">
        <v>40</v>
      </c>
    </row>
    <row r="147" spans="1:11" x14ac:dyDescent="0.25">
      <c r="A147" t="s">
        <v>192</v>
      </c>
      <c r="B147" s="52">
        <v>4.6459953459836861E-4</v>
      </c>
      <c r="C147" t="s">
        <v>191</v>
      </c>
      <c r="D147" t="s">
        <v>189</v>
      </c>
      <c r="F147" t="s">
        <v>40</v>
      </c>
    </row>
    <row r="148" spans="1:11" x14ac:dyDescent="0.25">
      <c r="A148" s="9"/>
      <c r="B148" s="9"/>
      <c r="C148" s="9"/>
      <c r="D148" s="9"/>
      <c r="E148" s="9"/>
      <c r="F148" s="9"/>
      <c r="G148" s="9"/>
      <c r="H148" s="9"/>
      <c r="I148" s="9"/>
      <c r="J148" s="9"/>
      <c r="K148" s="9"/>
    </row>
    <row r="149" spans="1:11" ht="15.75" x14ac:dyDescent="0.25">
      <c r="A149" s="1" t="s">
        <v>0</v>
      </c>
      <c r="B149" s="6" t="s">
        <v>62</v>
      </c>
    </row>
    <row r="150" spans="1:11" x14ac:dyDescent="0.25">
      <c r="A150" t="s">
        <v>1</v>
      </c>
      <c r="B150" s="2" t="s">
        <v>2</v>
      </c>
    </row>
    <row r="151" spans="1:11" x14ac:dyDescent="0.25">
      <c r="A151" t="s">
        <v>3</v>
      </c>
      <c r="B151" s="2" t="s">
        <v>4</v>
      </c>
    </row>
    <row r="152" spans="1:11" x14ac:dyDescent="0.25">
      <c r="A152" t="s">
        <v>5</v>
      </c>
      <c r="B152" s="2">
        <v>1</v>
      </c>
    </row>
    <row r="153" spans="1:11" x14ac:dyDescent="0.25">
      <c r="A153" t="s">
        <v>6</v>
      </c>
      <c r="B153" s="2" t="s">
        <v>62</v>
      </c>
    </row>
    <row r="154" spans="1:11" x14ac:dyDescent="0.25">
      <c r="A154" t="s">
        <v>7</v>
      </c>
      <c r="B154" s="2" t="s">
        <v>8</v>
      </c>
    </row>
    <row r="155" spans="1:11" x14ac:dyDescent="0.25">
      <c r="A155" t="s">
        <v>9</v>
      </c>
      <c r="B155" s="2" t="s">
        <v>65</v>
      </c>
    </row>
    <row r="156" spans="1:11" x14ac:dyDescent="0.25">
      <c r="A156" s="3" t="s">
        <v>10</v>
      </c>
    </row>
    <row r="157" spans="1:11" x14ac:dyDescent="0.25">
      <c r="A157" t="s">
        <v>11</v>
      </c>
      <c r="B157" s="2" t="s">
        <v>12</v>
      </c>
      <c r="C157" t="s">
        <v>7</v>
      </c>
      <c r="D157" t="s">
        <v>36</v>
      </c>
      <c r="E157" t="s">
        <v>3</v>
      </c>
      <c r="F157" t="s">
        <v>13</v>
      </c>
      <c r="G157" t="s">
        <v>6</v>
      </c>
    </row>
    <row r="158" spans="1:11" x14ac:dyDescent="0.25">
      <c r="A158" t="s">
        <v>62</v>
      </c>
      <c r="B158" s="2">
        <v>1</v>
      </c>
      <c r="C158" t="s">
        <v>8</v>
      </c>
      <c r="E158" t="s">
        <v>4</v>
      </c>
      <c r="F158" t="s">
        <v>14</v>
      </c>
      <c r="G158" t="s">
        <v>62</v>
      </c>
    </row>
    <row r="159" spans="1:11" x14ac:dyDescent="0.25">
      <c r="A159" t="s">
        <v>66</v>
      </c>
      <c r="B159" s="2">
        <v>2.46E-2</v>
      </c>
      <c r="C159" t="s">
        <v>22</v>
      </c>
      <c r="E159" t="s">
        <v>4</v>
      </c>
      <c r="F159" t="s">
        <v>15</v>
      </c>
      <c r="G159" t="s">
        <v>38</v>
      </c>
    </row>
    <row r="160" spans="1:11" x14ac:dyDescent="0.25">
      <c r="A160" t="s">
        <v>23</v>
      </c>
      <c r="B160" s="2">
        <v>0.20880000000000001</v>
      </c>
      <c r="C160" t="s">
        <v>22</v>
      </c>
      <c r="E160" t="s">
        <v>17</v>
      </c>
      <c r="F160" t="s">
        <v>15</v>
      </c>
      <c r="G160" t="s">
        <v>24</v>
      </c>
    </row>
    <row r="161" spans="1:12" x14ac:dyDescent="0.25">
      <c r="A161" t="s">
        <v>27</v>
      </c>
      <c r="B161" s="2">
        <v>0.59899999999999998</v>
      </c>
      <c r="C161" t="s">
        <v>22</v>
      </c>
      <c r="E161" t="s">
        <v>4</v>
      </c>
      <c r="F161" t="s">
        <v>15</v>
      </c>
      <c r="G161" t="s">
        <v>28</v>
      </c>
    </row>
    <row r="162" spans="1:12" x14ac:dyDescent="0.25">
      <c r="A162" t="s">
        <v>25</v>
      </c>
      <c r="B162" s="2">
        <v>0.30909999999999999</v>
      </c>
      <c r="C162" t="s">
        <v>22</v>
      </c>
      <c r="E162" t="s">
        <v>4</v>
      </c>
      <c r="F162" t="s">
        <v>15</v>
      </c>
      <c r="G162" t="s">
        <v>26</v>
      </c>
    </row>
    <row r="163" spans="1:12" x14ac:dyDescent="0.25">
      <c r="A163" t="s">
        <v>44</v>
      </c>
      <c r="B163" s="2">
        <v>0.44298591783325703</v>
      </c>
      <c r="C163" t="s">
        <v>8</v>
      </c>
      <c r="E163" t="s">
        <v>4</v>
      </c>
      <c r="F163" t="s">
        <v>15</v>
      </c>
      <c r="G163" t="s">
        <v>45</v>
      </c>
    </row>
    <row r="164" spans="1:12" x14ac:dyDescent="0.25">
      <c r="A164" t="s">
        <v>67</v>
      </c>
      <c r="B164" s="2">
        <v>2.5999999999999999E-2</v>
      </c>
      <c r="C164" t="s">
        <v>8</v>
      </c>
      <c r="E164" t="s">
        <v>4</v>
      </c>
      <c r="F164" t="s">
        <v>15</v>
      </c>
      <c r="G164" t="s">
        <v>18</v>
      </c>
    </row>
    <row r="165" spans="1:12" x14ac:dyDescent="0.25">
      <c r="A165" t="s">
        <v>19</v>
      </c>
      <c r="B165" s="2">
        <v>0.41599999999999998</v>
      </c>
      <c r="C165" t="s">
        <v>20</v>
      </c>
      <c r="E165" t="s">
        <v>4</v>
      </c>
      <c r="F165" t="s">
        <v>15</v>
      </c>
      <c r="G165" t="s">
        <v>21</v>
      </c>
    </row>
    <row r="166" spans="1:12" x14ac:dyDescent="0.25">
      <c r="A166" t="s">
        <v>33</v>
      </c>
      <c r="B166" s="7">
        <v>4.0000000000000001E-10</v>
      </c>
      <c r="C166" t="s">
        <v>7</v>
      </c>
      <c r="E166" t="s">
        <v>4</v>
      </c>
      <c r="F166" t="s">
        <v>15</v>
      </c>
      <c r="G166" t="s">
        <v>34</v>
      </c>
      <c r="L166" s="4"/>
    </row>
    <row r="167" spans="1:12" x14ac:dyDescent="0.25">
      <c r="A167" t="s">
        <v>68</v>
      </c>
      <c r="B167" s="2">
        <v>2.35</v>
      </c>
      <c r="C167" t="s">
        <v>31</v>
      </c>
      <c r="E167" t="s">
        <v>4</v>
      </c>
      <c r="F167" t="s">
        <v>15</v>
      </c>
      <c r="G167" t="s">
        <v>32</v>
      </c>
    </row>
    <row r="168" spans="1:12" x14ac:dyDescent="0.25">
      <c r="A168" t="s">
        <v>47</v>
      </c>
      <c r="B168" s="7">
        <v>-8.4364552406030698E-7</v>
      </c>
      <c r="C168" t="s">
        <v>42</v>
      </c>
      <c r="E168" t="s">
        <v>51</v>
      </c>
      <c r="F168" t="s">
        <v>15</v>
      </c>
      <c r="G168" t="s">
        <v>48</v>
      </c>
      <c r="L168" s="4"/>
    </row>
    <row r="169" spans="1:12" x14ac:dyDescent="0.25">
      <c r="A169" t="s">
        <v>47</v>
      </c>
      <c r="B169" s="7">
        <v>-9.1266630702019795E-8</v>
      </c>
      <c r="C169" t="s">
        <v>42</v>
      </c>
      <c r="E169" t="s">
        <v>30</v>
      </c>
      <c r="F169" t="s">
        <v>15</v>
      </c>
      <c r="G169" t="s">
        <v>48</v>
      </c>
      <c r="L169" s="4"/>
    </row>
    <row r="170" spans="1:12" x14ac:dyDescent="0.25">
      <c r="A170" t="s">
        <v>47</v>
      </c>
      <c r="B170" s="7">
        <v>-1.7650878452376699E-6</v>
      </c>
      <c r="C170" t="s">
        <v>42</v>
      </c>
      <c r="E170" t="s">
        <v>17</v>
      </c>
      <c r="F170" t="s">
        <v>15</v>
      </c>
      <c r="G170" t="s">
        <v>48</v>
      </c>
      <c r="L170" s="4"/>
    </row>
    <row r="171" spans="1:12" x14ac:dyDescent="0.25">
      <c r="A171" t="s">
        <v>69</v>
      </c>
      <c r="B171" s="2">
        <v>0.20331400193753199</v>
      </c>
      <c r="C171" t="s">
        <v>8</v>
      </c>
      <c r="E171" t="s">
        <v>29</v>
      </c>
      <c r="F171" t="s">
        <v>15</v>
      </c>
      <c r="G171" t="s">
        <v>70</v>
      </c>
    </row>
    <row r="172" spans="1:12" x14ac:dyDescent="0.25">
      <c r="A172" t="s">
        <v>69</v>
      </c>
      <c r="B172" s="2">
        <v>0.50608380196448799</v>
      </c>
      <c r="C172" t="s">
        <v>8</v>
      </c>
      <c r="E172" t="s">
        <v>17</v>
      </c>
      <c r="F172" t="s">
        <v>15</v>
      </c>
      <c r="G172" t="s">
        <v>70</v>
      </c>
    </row>
    <row r="173" spans="1:12" x14ac:dyDescent="0.25">
      <c r="A173" t="s">
        <v>71</v>
      </c>
      <c r="B173" s="2">
        <v>4.09211487463271E-3</v>
      </c>
      <c r="C173" t="s">
        <v>8</v>
      </c>
      <c r="E173" t="s">
        <v>29</v>
      </c>
      <c r="F173" t="s">
        <v>15</v>
      </c>
      <c r="G173" t="s">
        <v>72</v>
      </c>
    </row>
    <row r="174" spans="1:12" x14ac:dyDescent="0.25">
      <c r="A174" t="s">
        <v>71</v>
      </c>
      <c r="B174" s="2">
        <v>1.4907885125367301E-2</v>
      </c>
      <c r="C174" t="s">
        <v>8</v>
      </c>
      <c r="E174" t="s">
        <v>17</v>
      </c>
      <c r="F174" t="s">
        <v>15</v>
      </c>
      <c r="G174" t="s">
        <v>72</v>
      </c>
    </row>
    <row r="175" spans="1:12" x14ac:dyDescent="0.25">
      <c r="A175" t="s">
        <v>73</v>
      </c>
      <c r="B175" s="2">
        <v>1.41879560780404E-3</v>
      </c>
      <c r="C175" t="s">
        <v>8</v>
      </c>
      <c r="D175" t="s">
        <v>39</v>
      </c>
      <c r="F175" t="s">
        <v>40</v>
      </c>
    </row>
    <row r="176" spans="1:12" x14ac:dyDescent="0.25">
      <c r="A176" t="s">
        <v>49</v>
      </c>
      <c r="B176" s="2">
        <v>1.6400000000000001E-2</v>
      </c>
      <c r="C176" t="s">
        <v>42</v>
      </c>
      <c r="D176" t="s">
        <v>50</v>
      </c>
      <c r="F176" t="s">
        <v>40</v>
      </c>
    </row>
    <row r="177" spans="1:6" x14ac:dyDescent="0.25">
      <c r="A177" t="s">
        <v>74</v>
      </c>
      <c r="B177" s="2">
        <v>1.3403674933189301E-3</v>
      </c>
      <c r="C177" t="s">
        <v>8</v>
      </c>
      <c r="D177" t="s">
        <v>64</v>
      </c>
      <c r="F177" t="s">
        <v>40</v>
      </c>
    </row>
    <row r="178" spans="1:6" x14ac:dyDescent="0.25">
      <c r="A178" t="s">
        <v>75</v>
      </c>
      <c r="B178" s="2">
        <v>8.3000000000000001E-4</v>
      </c>
      <c r="C178" t="s">
        <v>42</v>
      </c>
      <c r="D178" t="s">
        <v>50</v>
      </c>
      <c r="F178" t="s">
        <v>40</v>
      </c>
    </row>
    <row r="179" spans="1:6" x14ac:dyDescent="0.25">
      <c r="A179" t="s">
        <v>76</v>
      </c>
      <c r="B179" s="2">
        <v>1.9E-2</v>
      </c>
      <c r="C179" t="s">
        <v>8</v>
      </c>
      <c r="D179" t="s">
        <v>39</v>
      </c>
      <c r="F179" t="s">
        <v>40</v>
      </c>
    </row>
    <row r="180" spans="1:6" x14ac:dyDescent="0.25">
      <c r="A180" t="s">
        <v>77</v>
      </c>
      <c r="B180" s="2">
        <v>8.5999999999999998E-4</v>
      </c>
      <c r="C180" t="s">
        <v>42</v>
      </c>
      <c r="D180" t="s">
        <v>50</v>
      </c>
      <c r="F180" t="s">
        <v>40</v>
      </c>
    </row>
    <row r="181" spans="1:6" x14ac:dyDescent="0.25">
      <c r="A181" t="s">
        <v>78</v>
      </c>
      <c r="B181" s="2">
        <v>4.4886196299122301E-3</v>
      </c>
      <c r="C181" t="s">
        <v>8</v>
      </c>
      <c r="D181" t="s">
        <v>64</v>
      </c>
      <c r="F181" t="s">
        <v>40</v>
      </c>
    </row>
    <row r="182" spans="1:6" x14ac:dyDescent="0.25">
      <c r="A182" t="s">
        <v>41</v>
      </c>
      <c r="B182" s="2">
        <v>1.67E-2</v>
      </c>
      <c r="C182" t="s">
        <v>42</v>
      </c>
      <c r="D182" t="s">
        <v>64</v>
      </c>
      <c r="F182" t="s">
        <v>40</v>
      </c>
    </row>
    <row r="183" spans="1:6" x14ac:dyDescent="0.25">
      <c r="A183" t="s">
        <v>41</v>
      </c>
      <c r="B183" s="2">
        <v>1.4E-3</v>
      </c>
      <c r="C183" t="s">
        <v>42</v>
      </c>
      <c r="D183" t="s">
        <v>39</v>
      </c>
      <c r="F183" t="s">
        <v>40</v>
      </c>
    </row>
  </sheetData>
  <autoFilter ref="A2:O18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M31" sqref="M31"/>
    </sheetView>
  </sheetViews>
  <sheetFormatPr defaultColWidth="10.85546875" defaultRowHeight="15.75" x14ac:dyDescent="0.25"/>
  <cols>
    <col min="1" max="1" width="10.85546875" style="17"/>
    <col min="2" max="2" width="20.140625" style="17" bestFit="1" customWidth="1"/>
    <col min="3" max="3" width="16.42578125" style="17" customWidth="1"/>
    <col min="4" max="4" width="15" style="17" bestFit="1" customWidth="1"/>
    <col min="5" max="5" width="20.140625" style="17" bestFit="1" customWidth="1"/>
    <col min="6" max="6" width="15" style="17" bestFit="1" customWidth="1"/>
    <col min="7" max="7" width="20.140625" style="17" bestFit="1" customWidth="1"/>
    <col min="8" max="8" width="18" style="17" bestFit="1" customWidth="1"/>
    <col min="9" max="9" width="17.140625" style="17" bestFit="1" customWidth="1"/>
    <col min="10" max="11" width="10.85546875" style="17"/>
    <col min="12" max="12" width="27.42578125" style="17" bestFit="1" customWidth="1"/>
    <col min="13" max="13" width="13.7109375" style="17" bestFit="1" customWidth="1"/>
    <col min="14" max="14" width="10.85546875" style="17"/>
    <col min="15" max="15" width="19.28515625" style="17" bestFit="1" customWidth="1"/>
    <col min="16" max="16384" width="10.85546875" style="17"/>
  </cols>
  <sheetData>
    <row r="1" spans="1:15" x14ac:dyDescent="0.25">
      <c r="A1" s="17" t="s">
        <v>129</v>
      </c>
    </row>
    <row r="2" spans="1:15" x14ac:dyDescent="0.25">
      <c r="B2" s="17" t="s">
        <v>9</v>
      </c>
      <c r="C2" s="17" t="s">
        <v>130</v>
      </c>
    </row>
    <row r="4" spans="1:15" x14ac:dyDescent="0.25">
      <c r="B4" s="18"/>
      <c r="C4" s="31"/>
      <c r="D4" s="58" t="s">
        <v>131</v>
      </c>
      <c r="E4" s="58"/>
      <c r="F4" s="58" t="s">
        <v>132</v>
      </c>
      <c r="G4" s="58"/>
      <c r="H4" s="31"/>
      <c r="I4" s="19"/>
    </row>
    <row r="5" spans="1:15" x14ac:dyDescent="0.25">
      <c r="B5" s="32"/>
      <c r="C5" s="33"/>
      <c r="D5" s="33" t="s">
        <v>133</v>
      </c>
      <c r="E5" s="33" t="s">
        <v>134</v>
      </c>
      <c r="F5" s="33" t="s">
        <v>133</v>
      </c>
      <c r="G5" s="33" t="s">
        <v>134</v>
      </c>
      <c r="H5" s="33" t="s">
        <v>135</v>
      </c>
      <c r="I5" s="34" t="s">
        <v>136</v>
      </c>
      <c r="L5" s="18" t="s">
        <v>137</v>
      </c>
      <c r="M5" s="19"/>
    </row>
    <row r="6" spans="1:15" x14ac:dyDescent="0.25">
      <c r="B6" s="32"/>
      <c r="C6" s="33" t="s">
        <v>7</v>
      </c>
      <c r="D6" s="35" t="s">
        <v>138</v>
      </c>
      <c r="E6" s="35" t="s">
        <v>139</v>
      </c>
      <c r="F6" s="35" t="s">
        <v>138</v>
      </c>
      <c r="G6" s="35" t="s">
        <v>139</v>
      </c>
      <c r="H6" s="35" t="s">
        <v>140</v>
      </c>
      <c r="I6" s="36" t="s">
        <v>141</v>
      </c>
      <c r="L6" s="20" t="s">
        <v>142</v>
      </c>
      <c r="M6" s="21">
        <v>4.7000000000000002E-3</v>
      </c>
    </row>
    <row r="7" spans="1:15" x14ac:dyDescent="0.25">
      <c r="B7" s="37" t="s">
        <v>143</v>
      </c>
      <c r="C7" s="33"/>
      <c r="D7" s="33"/>
      <c r="E7" s="33"/>
      <c r="F7" s="33"/>
      <c r="G7" s="33"/>
      <c r="H7" s="33"/>
      <c r="I7" s="34"/>
      <c r="L7" s="20" t="s">
        <v>144</v>
      </c>
      <c r="M7" s="22">
        <v>0.35</v>
      </c>
      <c r="O7" s="23"/>
    </row>
    <row r="8" spans="1:15" x14ac:dyDescent="0.25">
      <c r="B8" s="20" t="s">
        <v>145</v>
      </c>
      <c r="C8" s="38" t="s">
        <v>31</v>
      </c>
      <c r="D8" s="39">
        <f>21.571*L13/1000*M6</f>
        <v>0.10695980350000002</v>
      </c>
      <c r="E8" s="33"/>
      <c r="F8" s="39">
        <f>70.909*L13/1000*M6</f>
        <v>0.35160227650000009</v>
      </c>
      <c r="G8" s="39"/>
      <c r="H8" s="33"/>
      <c r="I8" s="34"/>
      <c r="L8" s="20" t="s">
        <v>135</v>
      </c>
      <c r="M8" s="22">
        <v>0.38</v>
      </c>
    </row>
    <row r="9" spans="1:15" x14ac:dyDescent="0.25">
      <c r="B9" s="20" t="s">
        <v>146</v>
      </c>
      <c r="C9" s="38" t="s">
        <v>20</v>
      </c>
      <c r="D9" s="33"/>
      <c r="E9" s="40">
        <f>6.706*L13/3.6/1000*M7</f>
        <v>0.68783069444444445</v>
      </c>
      <c r="F9" s="39"/>
      <c r="G9" s="39">
        <f>29.333*L13/3.6/1000*M7</f>
        <v>3.0086695138888886</v>
      </c>
      <c r="H9" s="40">
        <f>10.34*L13/3.6/1000*M8</f>
        <v>1.1514738888888889</v>
      </c>
      <c r="I9" s="34">
        <v>3.4</v>
      </c>
      <c r="L9" s="24" t="s">
        <v>136</v>
      </c>
      <c r="M9" s="25">
        <v>1</v>
      </c>
    </row>
    <row r="10" spans="1:15" x14ac:dyDescent="0.25">
      <c r="B10" s="20" t="s">
        <v>147</v>
      </c>
      <c r="C10" s="38" t="s">
        <v>31</v>
      </c>
      <c r="D10" s="33"/>
      <c r="E10" s="33"/>
      <c r="F10" s="39"/>
      <c r="G10" s="39"/>
      <c r="H10" s="40">
        <f>26.838*L13/1000*M8</f>
        <v>10.759354200000001</v>
      </c>
      <c r="I10" s="34"/>
    </row>
    <row r="11" spans="1:15" x14ac:dyDescent="0.25">
      <c r="B11" s="37" t="s">
        <v>148</v>
      </c>
      <c r="C11" s="38"/>
      <c r="D11" s="33"/>
      <c r="E11" s="33"/>
      <c r="F11" s="39"/>
      <c r="G11" s="39"/>
      <c r="H11" s="33"/>
      <c r="I11" s="34"/>
    </row>
    <row r="12" spans="1:15" x14ac:dyDescent="0.25">
      <c r="B12" s="20" t="s">
        <v>149</v>
      </c>
      <c r="C12" s="38" t="s">
        <v>150</v>
      </c>
      <c r="D12" s="39">
        <f>1760*L15/1000*M6</f>
        <v>3.1312828799999998E-2</v>
      </c>
      <c r="E12" s="40">
        <f>8997*L15/1000*M7</f>
        <v>11.920035329999999</v>
      </c>
      <c r="F12" s="39">
        <f>5785*L15/1000*M6</f>
        <v>0.1029231333</v>
      </c>
      <c r="G12" s="39">
        <f>39355*L15/1000*M7</f>
        <v>52.141045950000006</v>
      </c>
      <c r="H12" s="39">
        <f>13092*L15/1000*M8</f>
        <v>18.832213584000002</v>
      </c>
      <c r="I12" s="34"/>
      <c r="L12" s="26" t="s">
        <v>151</v>
      </c>
    </row>
    <row r="13" spans="1:15" x14ac:dyDescent="0.25">
      <c r="B13" s="37" t="s">
        <v>152</v>
      </c>
      <c r="C13" s="38"/>
      <c r="D13" s="33"/>
      <c r="E13" s="33"/>
      <c r="F13" s="39"/>
      <c r="G13" s="39"/>
      <c r="H13" s="33"/>
      <c r="I13" s="34"/>
      <c r="L13" s="27">
        <v>1055</v>
      </c>
      <c r="M13" s="17" t="s">
        <v>153</v>
      </c>
    </row>
    <row r="14" spans="1:15" x14ac:dyDescent="0.25">
      <c r="B14" s="20" t="s">
        <v>154</v>
      </c>
      <c r="C14" s="38" t="s">
        <v>8</v>
      </c>
      <c r="D14" s="33"/>
      <c r="E14" s="39">
        <f>0.721*M7</f>
        <v>0.25234999999999996</v>
      </c>
      <c r="F14" s="33"/>
      <c r="G14" s="39">
        <f>3.153*M7</f>
        <v>1.10355</v>
      </c>
      <c r="H14" s="33"/>
      <c r="I14" s="34"/>
      <c r="L14" s="17" t="s">
        <v>155</v>
      </c>
    </row>
    <row r="15" spans="1:15" x14ac:dyDescent="0.25">
      <c r="B15" s="20" t="s">
        <v>156</v>
      </c>
      <c r="C15" s="38" t="s">
        <v>8</v>
      </c>
      <c r="D15" s="33"/>
      <c r="E15" s="39">
        <f>0.938*M7</f>
        <v>0.32829999999999998</v>
      </c>
      <c r="F15" s="33"/>
      <c r="G15" s="39">
        <f>4.102*M7</f>
        <v>1.4357</v>
      </c>
      <c r="H15" s="33">
        <f>0.056*M8</f>
        <v>2.128E-2</v>
      </c>
      <c r="I15" s="34"/>
      <c r="L15" s="17">
        <v>3.7854000000000001</v>
      </c>
      <c r="M15" s="17" t="s">
        <v>157</v>
      </c>
    </row>
    <row r="16" spans="1:15" x14ac:dyDescent="0.25">
      <c r="B16" s="20" t="s">
        <v>158</v>
      </c>
      <c r="C16" s="38" t="s">
        <v>8</v>
      </c>
      <c r="D16" s="33"/>
      <c r="E16" s="39">
        <f>0.342*M7</f>
        <v>0.1197</v>
      </c>
      <c r="F16" s="33"/>
      <c r="G16" s="39">
        <f>1.494*M7</f>
        <v>0.52289999999999992</v>
      </c>
      <c r="H16" s="33">
        <f>0.022*M8</f>
        <v>8.3599999999999994E-3</v>
      </c>
      <c r="I16" s="34"/>
    </row>
    <row r="17" spans="2:13" x14ac:dyDescent="0.25">
      <c r="B17" s="20" t="s">
        <v>159</v>
      </c>
      <c r="C17" s="38" t="s">
        <v>8</v>
      </c>
      <c r="D17" s="33"/>
      <c r="E17" s="39">
        <f>0.041*M7</f>
        <v>1.435E-2</v>
      </c>
      <c r="F17" s="33"/>
      <c r="G17" s="39">
        <f>0.18*M7</f>
        <v>6.3E-2</v>
      </c>
      <c r="H17" s="33">
        <f>2.735*M8</f>
        <v>1.0392999999999999</v>
      </c>
      <c r="I17" s="34"/>
      <c r="L17" s="45" t="s">
        <v>176</v>
      </c>
      <c r="M17" s="17">
        <v>15000</v>
      </c>
    </row>
    <row r="18" spans="2:13" x14ac:dyDescent="0.25">
      <c r="B18" s="20" t="s">
        <v>161</v>
      </c>
      <c r="C18" s="38" t="s">
        <v>8</v>
      </c>
      <c r="D18" s="33"/>
      <c r="E18" s="39">
        <f>0.041*M7</f>
        <v>1.435E-2</v>
      </c>
      <c r="F18" s="33"/>
      <c r="G18" s="39">
        <f>1.175*M7</f>
        <v>0.41125</v>
      </c>
      <c r="H18" s="33"/>
      <c r="I18" s="34"/>
      <c r="L18" s="45" t="s">
        <v>177</v>
      </c>
      <c r="M18" s="47">
        <v>4.7000000000000002E-3</v>
      </c>
    </row>
    <row r="19" spans="2:13" x14ac:dyDescent="0.25">
      <c r="B19" s="20" t="s">
        <v>163</v>
      </c>
      <c r="C19" s="38" t="s">
        <v>8</v>
      </c>
      <c r="D19" s="33"/>
      <c r="E19" s="39"/>
      <c r="F19" s="33"/>
      <c r="G19" s="39"/>
      <c r="H19" s="33">
        <f>2.57*M8</f>
        <v>0.97659999999999991</v>
      </c>
      <c r="I19" s="34"/>
    </row>
    <row r="20" spans="2:13" x14ac:dyDescent="0.25">
      <c r="B20" s="20" t="s">
        <v>164</v>
      </c>
      <c r="C20" s="38" t="s">
        <v>8</v>
      </c>
      <c r="D20" s="33"/>
      <c r="E20" s="39"/>
      <c r="F20" s="33"/>
      <c r="G20" s="39"/>
      <c r="H20" s="33">
        <f>1.409*M8</f>
        <v>0.53542000000000001</v>
      </c>
      <c r="I20" s="34"/>
      <c r="L20" s="45" t="s">
        <v>178</v>
      </c>
      <c r="M20" s="17">
        <v>195000</v>
      </c>
    </row>
    <row r="21" spans="2:13" x14ac:dyDescent="0.25">
      <c r="B21" s="20" t="s">
        <v>165</v>
      </c>
      <c r="C21" s="38" t="s">
        <v>8</v>
      </c>
      <c r="D21" s="33"/>
      <c r="E21" s="39"/>
      <c r="F21" s="33"/>
      <c r="G21" s="33"/>
      <c r="H21" s="33">
        <f>0.047*M8</f>
        <v>1.7860000000000001E-2</v>
      </c>
      <c r="I21" s="34"/>
      <c r="L21" s="45" t="s">
        <v>177</v>
      </c>
      <c r="M21" s="47">
        <v>2.4E-2</v>
      </c>
    </row>
    <row r="22" spans="2:13" x14ac:dyDescent="0.25">
      <c r="B22" s="20" t="s">
        <v>166</v>
      </c>
      <c r="C22" s="38" t="s">
        <v>8</v>
      </c>
      <c r="D22" s="33"/>
      <c r="E22" s="39"/>
      <c r="F22" s="33"/>
      <c r="G22" s="33"/>
      <c r="H22" s="33">
        <f>0.08*M8</f>
        <v>3.04E-2</v>
      </c>
      <c r="I22" s="34"/>
    </row>
    <row r="23" spans="2:13" x14ac:dyDescent="0.25">
      <c r="B23" s="20" t="s">
        <v>167</v>
      </c>
      <c r="C23" s="38" t="s">
        <v>8</v>
      </c>
      <c r="D23" s="33"/>
      <c r="E23" s="39"/>
      <c r="F23" s="33"/>
      <c r="G23" s="33"/>
      <c r="H23" s="33">
        <f>0.574*M8</f>
        <v>0.21811999999999998</v>
      </c>
      <c r="I23" s="34"/>
      <c r="L23" s="53" t="s">
        <v>197</v>
      </c>
      <c r="M23" s="48">
        <f>(M17/M18)+(M20/M21)</f>
        <v>11316489.361702127</v>
      </c>
    </row>
    <row r="24" spans="2:13" x14ac:dyDescent="0.25">
      <c r="B24" s="20" t="s">
        <v>168</v>
      </c>
      <c r="C24" s="38" t="s">
        <v>8</v>
      </c>
      <c r="D24" s="33"/>
      <c r="E24" s="39"/>
      <c r="F24" s="33"/>
      <c r="G24" s="33"/>
      <c r="H24" s="33">
        <f>0.088*M8</f>
        <v>3.3439999999999998E-2</v>
      </c>
      <c r="I24" s="34"/>
    </row>
    <row r="25" spans="2:13" x14ac:dyDescent="0.25">
      <c r="B25" s="37" t="s">
        <v>169</v>
      </c>
      <c r="C25" s="38"/>
      <c r="D25" s="33"/>
      <c r="E25" s="39"/>
      <c r="F25" s="33"/>
      <c r="G25" s="33"/>
      <c r="H25" s="33"/>
      <c r="I25" s="34"/>
      <c r="L25" s="45" t="s">
        <v>179</v>
      </c>
      <c r="M25" s="46">
        <v>7.0999999999999994E-2</v>
      </c>
    </row>
    <row r="26" spans="2:13" x14ac:dyDescent="0.25">
      <c r="B26" s="20" t="s">
        <v>170</v>
      </c>
      <c r="C26" s="38" t="s">
        <v>8</v>
      </c>
      <c r="D26" s="41">
        <f>55849/1000/1000*M6</f>
        <v>2.6249029999999998E-4</v>
      </c>
      <c r="E26" s="39"/>
      <c r="F26" s="41">
        <f>183592/1000/1000*M6</f>
        <v>8.6288240000000006E-4</v>
      </c>
      <c r="G26" s="33"/>
      <c r="H26" s="33"/>
      <c r="I26" s="34"/>
      <c r="L26" s="45" t="s">
        <v>180</v>
      </c>
      <c r="M26" s="46">
        <v>0.31</v>
      </c>
    </row>
    <row r="27" spans="2:13" x14ac:dyDescent="0.25">
      <c r="B27" s="20" t="s">
        <v>171</v>
      </c>
      <c r="C27" s="38" t="s">
        <v>8</v>
      </c>
      <c r="D27" s="41">
        <f>5764/1000/1000*M6</f>
        <v>2.7090800000000002E-5</v>
      </c>
      <c r="E27" s="39"/>
      <c r="F27" s="41">
        <f>18949/1000/1000*M6</f>
        <v>8.9060300000000012E-5</v>
      </c>
      <c r="G27" s="33"/>
      <c r="H27" s="33"/>
      <c r="I27" s="34"/>
    </row>
    <row r="28" spans="2:13" x14ac:dyDescent="0.25">
      <c r="B28" s="20" t="s">
        <v>172</v>
      </c>
      <c r="C28" s="38"/>
      <c r="D28" s="33"/>
      <c r="E28" s="41">
        <f>6575/1000000*M7</f>
        <v>2.3012499999999999E-3</v>
      </c>
      <c r="F28" s="33"/>
      <c r="G28" s="41">
        <f>28760/1000000*M7</f>
        <v>1.0066E-2</v>
      </c>
      <c r="H28" s="33"/>
      <c r="I28" s="34"/>
      <c r="L28" s="17" t="s">
        <v>160</v>
      </c>
    </row>
    <row r="29" spans="2:13" x14ac:dyDescent="0.25">
      <c r="B29" s="24" t="s">
        <v>173</v>
      </c>
      <c r="C29" s="42"/>
      <c r="D29" s="43"/>
      <c r="E29" s="43"/>
      <c r="F29" s="43"/>
      <c r="G29" s="43"/>
      <c r="H29" s="43"/>
      <c r="I29" s="44"/>
      <c r="L29" s="17" t="s">
        <v>162</v>
      </c>
    </row>
    <row r="30" spans="2:13" x14ac:dyDescent="0.25">
      <c r="L30" s="45" t="s">
        <v>181</v>
      </c>
      <c r="M30" s="49">
        <f>M23*M25/M17</f>
        <v>53.564716312056731</v>
      </c>
    </row>
    <row r="31" spans="2:13" x14ac:dyDescent="0.25">
      <c r="L31" s="45" t="s">
        <v>182</v>
      </c>
      <c r="M31" s="49">
        <v>74</v>
      </c>
    </row>
    <row r="34" spans="12:13" x14ac:dyDescent="0.25">
      <c r="L34" s="45" t="s">
        <v>183</v>
      </c>
      <c r="M34" s="46">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disaggregated cobalt</vt:lpstr>
      <vt:lpstr>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2023-08-24T10:33:58Z</dcterms:modified>
</cp:coreProperties>
</file>