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hahnme_a\PycharmProjects\premise\premise\data\additional_inventories\"/>
    </mc:Choice>
  </mc:AlternateContent>
  <bookViews>
    <workbookView xWindow="0" yWindow="1425" windowWidth="30240" windowHeight="16320"/>
  </bookViews>
  <sheets>
    <sheet name="graphite" sheetId="1" r:id="rId1"/>
  </sheets>
  <definedNames>
    <definedName name="_xlnm._FilterDatabase" localSheetId="0" hidden="1">graphite!$A$1:$H$126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5" i="1" l="1"/>
  <c r="B144" i="1"/>
  <c r="B143" i="1"/>
  <c r="B142" i="1"/>
  <c r="B141" i="1"/>
  <c r="B140" i="1"/>
  <c r="B139" i="1"/>
  <c r="B178" i="1"/>
  <c r="B177" i="1"/>
  <c r="B176" i="1"/>
  <c r="B175" i="1"/>
  <c r="B174" i="1"/>
  <c r="B172" i="1"/>
  <c r="B179" i="1"/>
  <c r="B173" i="1"/>
  <c r="B193" i="1"/>
  <c r="B192" i="1"/>
  <c r="B226" i="1"/>
  <c r="B15" i="1"/>
  <c r="B14" i="1"/>
  <c r="B160" i="1"/>
  <c r="B159" i="1"/>
  <c r="B158" i="1"/>
  <c r="B27" i="1"/>
  <c r="B28" i="1"/>
  <c r="B29" i="1"/>
  <c r="B30" i="1"/>
  <c r="B31" i="1"/>
  <c r="B32" i="1"/>
  <c r="B33" i="1"/>
  <c r="B34" i="1"/>
  <c r="B35" i="1"/>
  <c r="B47" i="1"/>
  <c r="B48" i="1"/>
  <c r="B49" i="1"/>
  <c r="B50" i="1"/>
  <c r="B51" i="1"/>
  <c r="B52" i="1"/>
  <c r="B53" i="1"/>
  <c r="B54" i="1"/>
  <c r="B55" i="1"/>
  <c r="B56" i="1"/>
  <c r="B57" i="1"/>
  <c r="B58" i="1"/>
  <c r="B59" i="1"/>
  <c r="B71" i="1"/>
  <c r="B72" i="1"/>
  <c r="B73" i="1"/>
  <c r="B85" i="1"/>
  <c r="B86" i="1"/>
  <c r="B87" i="1"/>
  <c r="B88" i="1"/>
  <c r="B95" i="1"/>
  <c r="B89" i="1"/>
  <c r="B90" i="1"/>
  <c r="B91" i="1"/>
  <c r="B92" i="1"/>
  <c r="B93" i="1"/>
  <c r="B94" i="1"/>
  <c r="B120" i="1"/>
  <c r="B121" i="1"/>
  <c r="B122" i="1"/>
  <c r="B123" i="1"/>
  <c r="B124" i="1"/>
  <c r="B125" i="1"/>
  <c r="B126" i="1"/>
</calcChain>
</file>

<file path=xl/sharedStrings.xml><?xml version="1.0" encoding="utf-8"?>
<sst xmlns="http://schemas.openxmlformats.org/spreadsheetml/2006/main" count="795" uniqueCount="162">
  <si>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</si>
  <si>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</si>
  <si>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</si>
  <si>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</si>
  <si>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</si>
  <si>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</si>
  <si>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</si>
  <si>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</si>
  <si>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</si>
  <si>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</si>
  <si>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</si>
  <si>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</si>
  <si>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</si>
  <si>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</si>
  <si>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</si>
  <si>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</si>
  <si>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</si>
  <si>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</si>
  <si>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</si>
  <si>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</si>
  <si>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</si>
  <si>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</si>
  <si>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</si>
  <si>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</si>
  <si>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</si>
  <si>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</si>
  <si>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</si>
  <si>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</si>
  <si>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</si>
  <si>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</si>
  <si>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</si>
  <si>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</si>
  <si>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</si>
  <si>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</si>
  <si>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</si>
  <si>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</si>
  <si>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</si>
  <si>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</si>
  <si>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</si>
  <si>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</si>
  <si>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</si>
  <si>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</si>
  <si>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</si>
  <si>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</si>
  <si>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</si>
  <si>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</si>
  <si>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</si>
  <si>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</si>
  <si>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</si>
  <si>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</si>
  <si>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</si>
  <si>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</si>
  <si>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</si>
  <si>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</si>
  <si>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</si>
  <si>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</si>
  <si>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</si>
  <si>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</si>
  <si>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</si>
  <si>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</si>
  <si>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</si>
  <si>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</si>
  <si>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</si>
  <si>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</si>
  <si>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</si>
  <si>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</si>
  <si>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</si>
  <si>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</si>
  <si>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</si>
  <si>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</si>
  <si>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</si>
  <si>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</si>
  <si>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</si>
  <si>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</si>
  <si>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</si>
  <si>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</si>
  <si>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</si>
  <si>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</si>
  <si>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</si>
  <si>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</si>
  <si>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</si>
  <si>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</si>
  <si>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</si>
  <si>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</si>
  <si>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</si>
  <si>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</si>
  <si>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</si>
  <si>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</si>
  <si>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</si>
  <si>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</si>
  <si>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</si>
  <si>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</si>
  <si>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</si>
  <si>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</si>
  <si>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</si>
  <si>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</si>
  <si>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</si>
  <si>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</si>
  <si>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</si>
  <si>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</si>
  <si>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</si>
  <si>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</si>
  <si>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</si>
  <si>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</si>
  <si>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</si>
  <si>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</si>
  <si>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</si>
  <si>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</si>
  <si>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</si>
  <si>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</si>
  <si>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</si>
  <si>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</si>
  <si>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</si>
  <si>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</si>
  <si>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</si>
  <si>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</si>
  <si>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</si>
  <si>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</si>
  <si>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</si>
  <si>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</si>
  <si>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</si>
  <si>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</si>
  <si>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</si>
  <si>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</si>
  <si>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</si>
  <si>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</si>
  <si>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green coke production</t>
  </si>
  <si>
    <t>green coke</t>
  </si>
  <si>
    <t>ca. 10% of energy for atmospheric distillation is electricity.</t>
  </si>
  <si>
    <t>ca. 10% of energy for vaccuum distillation is electricity.</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</si>
  <si>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</si>
  <si>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</si>
  <si>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</si>
  <si>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</si>
  <si>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</si>
  <si>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</si>
  <si>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</si>
  <si>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</si>
  <si>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</si>
  <si>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market for graphite, battery grade</t>
  </si>
  <si>
    <t>20-80% natural graphite. Share based on Surovtseva, D, Crossin, E, Pell, R, Stamford, L. Toward a life cycle inventory for graphite production. J Ind Ecol. 2022; 26: 964– 979. https://doi.org/10.1111/jiec.13234</t>
  </si>
  <si>
    <t>graphite, battery grade</t>
  </si>
  <si>
    <t>natural graphite production, coated</t>
  </si>
  <si>
    <t>12500 km shipping for natural graphite</t>
  </si>
  <si>
    <t>27500 km shipping for synthetic graphite</t>
  </si>
  <si>
    <t>Oil, crude, in ground</t>
  </si>
  <si>
    <t>graphite</t>
  </si>
  <si>
    <t>80% of graphite used in battery anode is synthetic</t>
  </si>
  <si>
    <t>20% of graphite used in battery anode is synthetic</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</si>
  <si>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</si>
  <si>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</si>
  <si>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</si>
  <si>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</si>
  <si>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</si>
  <si>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ca. 90% of energy input for atmospheric distillation is from coking gas.</t>
  </si>
  <si>
    <t>ca. 5% of energy input from delayed coking is from electricity.</t>
  </si>
  <si>
    <t>ca. 95% of energy input from delayed coking is from coking gas.</t>
  </si>
  <si>
    <t>ca. 90% of energy for vaccuum distillation is from coking gas.</t>
  </si>
  <si>
    <t>Market created to facilitate the regionalization</t>
  </si>
  <si>
    <t>Graphite</t>
  </si>
  <si>
    <t>Added in the metals branch to account for metal depletion - Same quantity as original ecoinvent dataset on graphite production</t>
  </si>
  <si>
    <t>market for graphite ore, 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</si>
</sst>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8">
    <xf numFmtId="0" fontId="0" fillId="0" borderId="0" xfId="0"/>
    <xf numFmtId="0" fontId="3" fillId="0" borderId="0" xfId="0" applyFont="1"/>
    <xf numFmtId="0" fontId="0" fillId="0" borderId="0" xfId="0" applyAlignment="1"/>
    <xf numFmtId="0" fontId="2" fillId="0" borderId="0" xfId="0" applyFont="1"/>
    <xf numFmtId="0" fontId="3" fillId="2" borderId="0" xfId="0" applyFont="1" applyFill="1"/>
    <xf numFmtId="0" fontId="3" fillId="2" borderId="0" xfId="0" applyFont="1" applyFill="1" applyAlignment="1"/>
    <xf numFmtId="0" fontId="0" fillId="2" borderId="0" xfId="0" applyFill="1"/>
    <xf numFmtId="0" fontId="0" fillId="2" borderId="0" xfId="0" applyFill="1" applyAlignment="1"/>
    <xf numFmtId="0" fontId="2" fillId="2" borderId="0" xfId="0" applyFont="1" applyFill="1"/>
    <xf numFmtId="11" fontId="0" fillId="2" borderId="0" xfId="0" applyNumberFormat="1" applyFill="1" applyAlignment="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xf numFmtId="0" fontId="2" fillId="2" borderId="0" xfId="0" applyFont="1" applyFill="1" applyAlignment="1"/>
    <xf numFmtId="0" fontId="0" fillId="0" borderId="0" xfId="0" applyFont="1" applyFill="1"/>
  </cellXfs>
  <cellStyles count="3">
    <cellStyle name="Normal" xfId="0" builtinId="0"/>
    <cellStyle name="Normal 2" xfId="1"/>
    <cellStyle name="Per 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7"/>
  <sheetViews>
    <sheetView tabSelected="1" topLeftCell="A80" workbookViewId="0">
      <selection activeCell="G88" sqref="G88"/>
    </sheetView>
  </sheetViews>
  <sheetFormatPr defaultColWidth="8.85546875" defaultRowHeight="15" x14ac:dyDescent="0.25"/>
  <cols>
    <col min="1" max="1" width="46.42578125" customWidth="1"/>
    <col min="2" max="2" width="12.7109375" style="2" bestFit="1" customWidth="1"/>
    <col min="6" max="6" width="11.42578125" bestFit="1" customWidth="1"/>
    <col min="7" max="7" width="21.85546875" customWidth="1"/>
  </cols>
  <sheetData>
    <row r="1" spans="1:8" x14ac:dyDescent="0.25">
      <c r="A1" s="3" t="s">
        <v>41</v>
      </c>
      <c r="B1" s="2" t="s">
        <v>146</v>
      </c>
    </row>
    <row r="2" spans="1:8" x14ac:dyDescent="0.25">
      <c r="A2" s="3"/>
    </row>
    <row r="3" spans="1:8" ht="15.75" x14ac:dyDescent="0.25">
      <c r="A3" s="1" t="s">
        <v>0</v>
      </c>
      <c r="B3" s="1" t="s">
        <v>139</v>
      </c>
    </row>
    <row r="4" spans="1:8" x14ac:dyDescent="0.25">
      <c r="A4" t="s">
        <v>1</v>
      </c>
      <c r="B4" t="s">
        <v>140</v>
      </c>
    </row>
    <row r="5" spans="1:8" x14ac:dyDescent="0.25">
      <c r="A5" t="s">
        <v>2</v>
      </c>
      <c r="B5" t="s">
        <v>32</v>
      </c>
    </row>
    <row r="6" spans="1:8" x14ac:dyDescent="0.25">
      <c r="A6" t="s">
        <v>4</v>
      </c>
      <c r="B6">
        <v>1</v>
      </c>
    </row>
    <row r="7" spans="1:8" x14ac:dyDescent="0.25">
      <c r="A7" t="s">
        <v>5</v>
      </c>
      <c r="B7" t="s">
        <v>141</v>
      </c>
    </row>
    <row r="8" spans="1:8" x14ac:dyDescent="0.25">
      <c r="A8" t="s">
        <v>6</v>
      </c>
      <c r="B8" t="s">
        <v>7</v>
      </c>
    </row>
    <row r="9" spans="1:8" x14ac:dyDescent="0.25">
      <c r="A9" s="3" t="s">
        <v>9</v>
      </c>
      <c r="B9"/>
    </row>
    <row r="10" spans="1:8" x14ac:dyDescent="0.25">
      <c r="A10" t="s">
        <v>10</v>
      </c>
      <c r="B10" t="s">
        <v>11</v>
      </c>
      <c r="C10" t="s">
        <v>6</v>
      </c>
      <c r="D10" t="s">
        <v>26</v>
      </c>
      <c r="E10" t="s">
        <v>2</v>
      </c>
      <c r="F10" t="s">
        <v>12</v>
      </c>
      <c r="G10" t="s">
        <v>5</v>
      </c>
      <c r="H10" s="17" t="s">
        <v>1</v>
      </c>
    </row>
    <row r="11" spans="1:8" x14ac:dyDescent="0.25">
      <c r="A11" t="s">
        <v>139</v>
      </c>
      <c r="B11">
        <v>1</v>
      </c>
      <c r="C11" t="s">
        <v>7</v>
      </c>
      <c r="E11" t="s">
        <v>32</v>
      </c>
      <c r="F11" t="s">
        <v>13</v>
      </c>
      <c r="G11" t="s">
        <v>141</v>
      </c>
    </row>
    <row r="12" spans="1:8" x14ac:dyDescent="0.25">
      <c r="A12" t="s">
        <v>136</v>
      </c>
      <c r="B12">
        <v>0.2</v>
      </c>
      <c r="C12" t="s">
        <v>7</v>
      </c>
      <c r="E12" t="s">
        <v>32</v>
      </c>
      <c r="F12" t="s">
        <v>14</v>
      </c>
      <c r="G12" t="s">
        <v>138</v>
      </c>
      <c r="H12" t="s">
        <v>148</v>
      </c>
    </row>
    <row r="13" spans="1:8" x14ac:dyDescent="0.25">
      <c r="A13" t="s">
        <v>142</v>
      </c>
      <c r="B13">
        <v>0.8</v>
      </c>
      <c r="C13" t="s">
        <v>7</v>
      </c>
      <c r="E13" t="s">
        <v>32</v>
      </c>
      <c r="F13" t="s">
        <v>14</v>
      </c>
      <c r="G13" t="s">
        <v>42</v>
      </c>
      <c r="H13" t="s">
        <v>147</v>
      </c>
    </row>
    <row r="14" spans="1:8" x14ac:dyDescent="0.25">
      <c r="A14" t="s">
        <v>110</v>
      </c>
      <c r="B14">
        <f>0.8*12500*0.001</f>
        <v>10</v>
      </c>
      <c r="C14" t="s">
        <v>21</v>
      </c>
      <c r="E14" t="s">
        <v>3</v>
      </c>
      <c r="F14" t="s">
        <v>14</v>
      </c>
      <c r="G14" t="s">
        <v>111</v>
      </c>
      <c r="H14" t="s">
        <v>143</v>
      </c>
    </row>
    <row r="15" spans="1:8" x14ac:dyDescent="0.25">
      <c r="A15" t="s">
        <v>110</v>
      </c>
      <c r="B15">
        <f>0.2*27500*0.001</f>
        <v>5.5</v>
      </c>
      <c r="C15" t="s">
        <v>21</v>
      </c>
      <c r="E15" t="s">
        <v>3</v>
      </c>
      <c r="F15" t="s">
        <v>14</v>
      </c>
      <c r="G15" t="s">
        <v>111</v>
      </c>
      <c r="H15" t="s">
        <v>144</v>
      </c>
    </row>
    <row r="17" spans="1:8" s="6" customFormat="1" ht="15.75" x14ac:dyDescent="0.25">
      <c r="A17" s="4" t="s">
        <v>0</v>
      </c>
      <c r="B17" s="5" t="s">
        <v>142</v>
      </c>
    </row>
    <row r="18" spans="1:8" s="6" customFormat="1" x14ac:dyDescent="0.25">
      <c r="A18" s="6" t="s">
        <v>1</v>
      </c>
      <c r="B18" s="7" t="s">
        <v>150</v>
      </c>
    </row>
    <row r="19" spans="1:8" s="6" customFormat="1" x14ac:dyDescent="0.25">
      <c r="A19" s="6" t="s">
        <v>2</v>
      </c>
      <c r="B19" s="7" t="s">
        <v>32</v>
      </c>
    </row>
    <row r="20" spans="1:8" s="6" customFormat="1" x14ac:dyDescent="0.25">
      <c r="A20" s="6" t="s">
        <v>4</v>
      </c>
      <c r="B20" s="7">
        <v>1</v>
      </c>
    </row>
    <row r="21" spans="1:8" s="6" customFormat="1" x14ac:dyDescent="0.25">
      <c r="A21" s="6" t="s">
        <v>5</v>
      </c>
      <c r="B21" s="7" t="s">
        <v>42</v>
      </c>
    </row>
    <row r="22" spans="1:8" s="6" customFormat="1" x14ac:dyDescent="0.25">
      <c r="A22" s="6" t="s">
        <v>6</v>
      </c>
      <c r="B22" s="7" t="s">
        <v>7</v>
      </c>
    </row>
    <row r="23" spans="1:8" s="6" customFormat="1" x14ac:dyDescent="0.25">
      <c r="A23" s="6" t="s">
        <v>8</v>
      </c>
      <c r="B23" s="7" t="s">
        <v>43</v>
      </c>
    </row>
    <row r="24" spans="1:8" s="6" customFormat="1" x14ac:dyDescent="0.25">
      <c r="A24" s="8" t="s">
        <v>9</v>
      </c>
      <c r="B24" s="7"/>
    </row>
    <row r="25" spans="1:8" s="8" customFormat="1" x14ac:dyDescent="0.25">
      <c r="A25" s="8" t="s">
        <v>10</v>
      </c>
      <c r="B25" s="16" t="s">
        <v>11</v>
      </c>
      <c r="C25" s="8" t="s">
        <v>6</v>
      </c>
      <c r="D25" s="8" t="s">
        <v>26</v>
      </c>
      <c r="E25" s="8" t="s">
        <v>2</v>
      </c>
      <c r="F25" s="8" t="s">
        <v>12</v>
      </c>
      <c r="G25" s="8" t="s">
        <v>5</v>
      </c>
      <c r="H25" s="8" t="s">
        <v>1</v>
      </c>
    </row>
    <row r="26" spans="1:8" s="6" customFormat="1" x14ac:dyDescent="0.25">
      <c r="A26" s="6" t="s">
        <v>142</v>
      </c>
      <c r="B26" s="7">
        <v>1</v>
      </c>
      <c r="C26" s="6" t="s">
        <v>7</v>
      </c>
      <c r="E26" s="6" t="s">
        <v>32</v>
      </c>
      <c r="F26" s="6" t="s">
        <v>13</v>
      </c>
      <c r="G26" s="6" t="s">
        <v>42</v>
      </c>
    </row>
    <row r="27" spans="1:8" s="6" customFormat="1" x14ac:dyDescent="0.25">
      <c r="A27" s="6" t="s">
        <v>22</v>
      </c>
      <c r="B27" s="7">
        <f>750/1000</f>
        <v>0.75</v>
      </c>
      <c r="C27" s="6" t="s">
        <v>21</v>
      </c>
      <c r="E27" s="6" t="s">
        <v>16</v>
      </c>
      <c r="F27" s="6" t="s">
        <v>14</v>
      </c>
      <c r="G27" s="6" t="s">
        <v>23</v>
      </c>
      <c r="H27" s="6" t="s">
        <v>44</v>
      </c>
    </row>
    <row r="28" spans="1:8" s="6" customFormat="1" x14ac:dyDescent="0.25">
      <c r="A28" s="6" t="s">
        <v>22</v>
      </c>
      <c r="B28" s="7">
        <f>1780/1000</f>
        <v>1.78</v>
      </c>
      <c r="C28" s="6" t="s">
        <v>21</v>
      </c>
      <c r="E28" s="6" t="s">
        <v>16</v>
      </c>
      <c r="F28" s="6" t="s">
        <v>14</v>
      </c>
      <c r="G28" s="6" t="s">
        <v>23</v>
      </c>
      <c r="H28" s="6" t="s">
        <v>45</v>
      </c>
    </row>
    <row r="29" spans="1:8" s="6" customFormat="1" x14ac:dyDescent="0.25">
      <c r="A29" s="6" t="s">
        <v>18</v>
      </c>
      <c r="B29" s="7">
        <f>4550/1000</f>
        <v>4.55</v>
      </c>
      <c r="C29" s="6" t="s">
        <v>19</v>
      </c>
      <c r="E29" s="6" t="s">
        <v>32</v>
      </c>
      <c r="F29" s="6" t="s">
        <v>14</v>
      </c>
      <c r="G29" s="6" t="s">
        <v>20</v>
      </c>
      <c r="H29" s="6" t="s">
        <v>46</v>
      </c>
    </row>
    <row r="30" spans="1:8" s="6" customFormat="1" x14ac:dyDescent="0.25">
      <c r="A30" s="6" t="s">
        <v>47</v>
      </c>
      <c r="B30" s="7">
        <f>0.249/1000*43.4</f>
        <v>1.08066E-2</v>
      </c>
      <c r="C30" s="6" t="s">
        <v>24</v>
      </c>
      <c r="E30" s="6" t="s">
        <v>3</v>
      </c>
      <c r="F30" s="6" t="s">
        <v>14</v>
      </c>
      <c r="G30" s="6" t="s">
        <v>48</v>
      </c>
      <c r="H30" s="6" t="s">
        <v>49</v>
      </c>
    </row>
    <row r="31" spans="1:8" s="6" customFormat="1" x14ac:dyDescent="0.25">
      <c r="A31" s="6" t="s">
        <v>38</v>
      </c>
      <c r="B31" s="7">
        <f>1.5/1000</f>
        <v>1.5E-3</v>
      </c>
      <c r="C31" s="6" t="s">
        <v>7</v>
      </c>
      <c r="E31" s="6" t="s">
        <v>16</v>
      </c>
      <c r="F31" s="6" t="s">
        <v>14</v>
      </c>
      <c r="G31" s="6" t="s">
        <v>39</v>
      </c>
      <c r="H31" s="6" t="s">
        <v>50</v>
      </c>
    </row>
    <row r="32" spans="1:8" s="6" customFormat="1" x14ac:dyDescent="0.25">
      <c r="A32" s="6" t="s">
        <v>51</v>
      </c>
      <c r="B32" s="9">
        <f>1010/1000</f>
        <v>1.01</v>
      </c>
      <c r="C32" s="6" t="s">
        <v>7</v>
      </c>
      <c r="E32" s="6" t="s">
        <v>32</v>
      </c>
      <c r="F32" s="6" t="s">
        <v>14</v>
      </c>
      <c r="G32" s="6" t="s">
        <v>52</v>
      </c>
      <c r="H32" s="6" t="s">
        <v>53</v>
      </c>
    </row>
    <row r="33" spans="1:8" s="6" customFormat="1" x14ac:dyDescent="0.25">
      <c r="A33" s="6" t="s">
        <v>54</v>
      </c>
      <c r="B33" s="7">
        <f>50/1000</f>
        <v>0.05</v>
      </c>
      <c r="C33" s="6" t="s">
        <v>7</v>
      </c>
      <c r="E33" s="6" t="s">
        <v>35</v>
      </c>
      <c r="F33" s="6" t="s">
        <v>14</v>
      </c>
      <c r="G33" s="6" t="s">
        <v>55</v>
      </c>
      <c r="H33" s="6" t="s">
        <v>56</v>
      </c>
    </row>
    <row r="34" spans="1:8" s="6" customFormat="1" x14ac:dyDescent="0.25">
      <c r="A34" s="6" t="s">
        <v>27</v>
      </c>
      <c r="B34" s="7">
        <f>62.407/1000</f>
        <v>6.2406999999999997E-2</v>
      </c>
      <c r="C34" s="6" t="s">
        <v>7</v>
      </c>
      <c r="D34" s="6" t="s">
        <v>28</v>
      </c>
      <c r="F34" s="6" t="s">
        <v>29</v>
      </c>
      <c r="H34" s="6" t="s">
        <v>57</v>
      </c>
    </row>
    <row r="35" spans="1:8" s="6" customFormat="1" x14ac:dyDescent="0.25">
      <c r="A35" s="6" t="s">
        <v>40</v>
      </c>
      <c r="B35" s="7">
        <f>1.5/1000</f>
        <v>1.5E-3</v>
      </c>
      <c r="C35" s="6" t="s">
        <v>7</v>
      </c>
      <c r="D35" s="6" t="s">
        <v>28</v>
      </c>
      <c r="F35" s="6" t="s">
        <v>29</v>
      </c>
      <c r="H35" s="6" t="s">
        <v>58</v>
      </c>
    </row>
    <row r="36" spans="1:8" s="6" customFormat="1" x14ac:dyDescent="0.25">
      <c r="B36" s="7"/>
    </row>
    <row r="37" spans="1:8" s="6" customFormat="1" ht="15.75" x14ac:dyDescent="0.25">
      <c r="A37" s="4" t="s">
        <v>0</v>
      </c>
      <c r="B37" s="5" t="s">
        <v>51</v>
      </c>
    </row>
    <row r="38" spans="1:8" s="6" customFormat="1" x14ac:dyDescent="0.25">
      <c r="A38" s="6" t="s">
        <v>1</v>
      </c>
      <c r="B38" s="7" t="s">
        <v>151</v>
      </c>
    </row>
    <row r="39" spans="1:8" s="6" customFormat="1" x14ac:dyDescent="0.25">
      <c r="A39" s="6" t="s">
        <v>2</v>
      </c>
      <c r="B39" s="7" t="s">
        <v>32</v>
      </c>
    </row>
    <row r="40" spans="1:8" s="6" customFormat="1" x14ac:dyDescent="0.25">
      <c r="A40" s="6" t="s">
        <v>4</v>
      </c>
      <c r="B40" s="7">
        <v>1</v>
      </c>
    </row>
    <row r="41" spans="1:8" s="6" customFormat="1" x14ac:dyDescent="0.25">
      <c r="A41" s="6" t="s">
        <v>5</v>
      </c>
      <c r="B41" s="7" t="s">
        <v>52</v>
      </c>
    </row>
    <row r="42" spans="1:8" s="6" customFormat="1" x14ac:dyDescent="0.25">
      <c r="A42" s="6" t="s">
        <v>6</v>
      </c>
      <c r="B42" s="7" t="s">
        <v>7</v>
      </c>
    </row>
    <row r="43" spans="1:8" s="6" customFormat="1" x14ac:dyDescent="0.25">
      <c r="A43" s="6" t="s">
        <v>8</v>
      </c>
      <c r="B43" s="7" t="s">
        <v>43</v>
      </c>
    </row>
    <row r="44" spans="1:8" s="6" customFormat="1" x14ac:dyDescent="0.25">
      <c r="A44" s="8" t="s">
        <v>9</v>
      </c>
      <c r="B44" s="7"/>
    </row>
    <row r="45" spans="1:8" s="8" customFormat="1" x14ac:dyDescent="0.25">
      <c r="A45" s="8" t="s">
        <v>10</v>
      </c>
      <c r="B45" s="16" t="s">
        <v>11</v>
      </c>
      <c r="C45" s="8" t="s">
        <v>6</v>
      </c>
      <c r="D45" s="8" t="s">
        <v>26</v>
      </c>
      <c r="E45" s="8" t="s">
        <v>2</v>
      </c>
      <c r="F45" s="8" t="s">
        <v>12</v>
      </c>
      <c r="G45" s="8" t="s">
        <v>5</v>
      </c>
      <c r="H45" s="8" t="s">
        <v>1</v>
      </c>
    </row>
    <row r="46" spans="1:8" s="6" customFormat="1" x14ac:dyDescent="0.25">
      <c r="A46" s="6" t="s">
        <v>51</v>
      </c>
      <c r="B46" s="7">
        <v>1</v>
      </c>
      <c r="C46" s="6" t="s">
        <v>7</v>
      </c>
      <c r="E46" s="6" t="s">
        <v>32</v>
      </c>
      <c r="F46" s="6" t="s">
        <v>13</v>
      </c>
      <c r="G46" s="6" t="s">
        <v>52</v>
      </c>
    </row>
    <row r="47" spans="1:8" s="6" customFormat="1" x14ac:dyDescent="0.25">
      <c r="A47" s="6" t="s">
        <v>18</v>
      </c>
      <c r="B47" s="7">
        <f>305/1000</f>
        <v>0.30499999999999999</v>
      </c>
      <c r="C47" s="6" t="s">
        <v>19</v>
      </c>
      <c r="E47" s="6" t="s">
        <v>32</v>
      </c>
      <c r="F47" s="6" t="s">
        <v>14</v>
      </c>
      <c r="G47" s="6" t="s">
        <v>20</v>
      </c>
      <c r="H47" s="6" t="s">
        <v>59</v>
      </c>
    </row>
    <row r="48" spans="1:8" s="6" customFormat="1" x14ac:dyDescent="0.25">
      <c r="A48" s="6" t="s">
        <v>47</v>
      </c>
      <c r="B48" s="7">
        <f>0.249/1000*43.4</f>
        <v>1.08066E-2</v>
      </c>
      <c r="C48" s="6" t="s">
        <v>24</v>
      </c>
      <c r="E48" s="6" t="s">
        <v>3</v>
      </c>
      <c r="F48" s="6" t="s">
        <v>14</v>
      </c>
      <c r="G48" s="6" t="s">
        <v>48</v>
      </c>
      <c r="H48" s="6" t="s">
        <v>49</v>
      </c>
    </row>
    <row r="49" spans="1:8" s="6" customFormat="1" x14ac:dyDescent="0.25">
      <c r="A49" s="6" t="s">
        <v>60</v>
      </c>
      <c r="B49" s="7">
        <f>1050/1000/38.3</f>
        <v>2.7415143603133161E-2</v>
      </c>
      <c r="C49" s="6" t="s">
        <v>31</v>
      </c>
      <c r="E49" s="6" t="s">
        <v>16</v>
      </c>
      <c r="F49" s="6" t="s">
        <v>14</v>
      </c>
      <c r="G49" s="6" t="s">
        <v>61</v>
      </c>
      <c r="H49" s="6" t="s">
        <v>62</v>
      </c>
    </row>
    <row r="50" spans="1:8" s="6" customFormat="1" x14ac:dyDescent="0.25">
      <c r="A50" s="6" t="s">
        <v>63</v>
      </c>
      <c r="B50" s="7">
        <f>180/1000</f>
        <v>0.18</v>
      </c>
      <c r="C50" s="6" t="s">
        <v>7</v>
      </c>
      <c r="E50" s="6" t="s">
        <v>16</v>
      </c>
      <c r="F50" s="6" t="s">
        <v>14</v>
      </c>
      <c r="G50" s="6" t="s">
        <v>64</v>
      </c>
      <c r="H50" s="6" t="s">
        <v>65</v>
      </c>
    </row>
    <row r="51" spans="1:8" s="6" customFormat="1" x14ac:dyDescent="0.25">
      <c r="A51" s="6" t="s">
        <v>36</v>
      </c>
      <c r="B51" s="7">
        <f>200/1000</f>
        <v>0.2</v>
      </c>
      <c r="C51" s="6" t="s">
        <v>7</v>
      </c>
      <c r="E51" s="6" t="s">
        <v>16</v>
      </c>
      <c r="F51" s="6" t="s">
        <v>14</v>
      </c>
      <c r="G51" s="6" t="s">
        <v>37</v>
      </c>
      <c r="H51" s="6" t="s">
        <v>66</v>
      </c>
    </row>
    <row r="52" spans="1:8" s="6" customFormat="1" x14ac:dyDescent="0.25">
      <c r="A52" s="6" t="s">
        <v>67</v>
      </c>
      <c r="B52" s="7">
        <f>100/1000</f>
        <v>0.1</v>
      </c>
      <c r="C52" s="6" t="s">
        <v>7</v>
      </c>
      <c r="E52" s="6" t="s">
        <v>32</v>
      </c>
      <c r="F52" s="6" t="s">
        <v>14</v>
      </c>
      <c r="G52" s="6" t="s">
        <v>68</v>
      </c>
      <c r="H52" s="6" t="s">
        <v>69</v>
      </c>
    </row>
    <row r="53" spans="1:8" s="6" customFormat="1" x14ac:dyDescent="0.25">
      <c r="A53" s="6" t="s">
        <v>15</v>
      </c>
      <c r="B53" s="7">
        <f>25*1000/1000</f>
        <v>25</v>
      </c>
      <c r="C53" s="6" t="s">
        <v>7</v>
      </c>
      <c r="E53" s="6" t="s">
        <v>16</v>
      </c>
      <c r="F53" s="6" t="s">
        <v>14</v>
      </c>
      <c r="G53" s="6" t="s">
        <v>17</v>
      </c>
      <c r="H53" s="6" t="s">
        <v>70</v>
      </c>
    </row>
    <row r="54" spans="1:8" s="6" customFormat="1" x14ac:dyDescent="0.25">
      <c r="A54" s="6" t="s">
        <v>71</v>
      </c>
      <c r="B54" s="7">
        <f>400/1000</f>
        <v>0.4</v>
      </c>
      <c r="C54" s="6" t="s">
        <v>7</v>
      </c>
      <c r="E54" s="6" t="s">
        <v>16</v>
      </c>
      <c r="F54" s="6" t="s">
        <v>14</v>
      </c>
      <c r="G54" s="6" t="s">
        <v>72</v>
      </c>
      <c r="H54" s="6" t="s">
        <v>73</v>
      </c>
    </row>
    <row r="55" spans="1:8" s="6" customFormat="1" x14ac:dyDescent="0.25">
      <c r="A55" s="6" t="s">
        <v>22</v>
      </c>
      <c r="B55" s="7">
        <f>350/1000</f>
        <v>0.35</v>
      </c>
      <c r="C55" s="6" t="s">
        <v>21</v>
      </c>
      <c r="E55" s="6" t="s">
        <v>16</v>
      </c>
      <c r="F55" s="6" t="s">
        <v>14</v>
      </c>
      <c r="G55" s="6" t="s">
        <v>23</v>
      </c>
      <c r="H55" s="6" t="s">
        <v>74</v>
      </c>
    </row>
    <row r="56" spans="1:8" s="6" customFormat="1" x14ac:dyDescent="0.25">
      <c r="A56" s="6" t="s">
        <v>75</v>
      </c>
      <c r="B56" s="7">
        <f>1130/1000</f>
        <v>1.1299999999999999</v>
      </c>
      <c r="C56" s="6" t="s">
        <v>7</v>
      </c>
      <c r="E56" s="6" t="s">
        <v>32</v>
      </c>
      <c r="F56" s="6" t="s">
        <v>14</v>
      </c>
      <c r="G56" s="6" t="s">
        <v>76</v>
      </c>
    </row>
    <row r="57" spans="1:8" s="6" customFormat="1" x14ac:dyDescent="0.25">
      <c r="A57" s="6" t="s">
        <v>27</v>
      </c>
      <c r="B57" s="7">
        <f>57.75/1000</f>
        <v>5.7750000000000003E-2</v>
      </c>
      <c r="C57" s="6" t="s">
        <v>7</v>
      </c>
      <c r="D57" s="6" t="s">
        <v>28</v>
      </c>
      <c r="F57" s="6" t="s">
        <v>29</v>
      </c>
      <c r="H57" s="6" t="s">
        <v>57</v>
      </c>
    </row>
    <row r="58" spans="1:8" s="6" customFormat="1" x14ac:dyDescent="0.25">
      <c r="A58" s="6" t="s">
        <v>30</v>
      </c>
      <c r="B58" s="7">
        <f>320.145/1000/1000</f>
        <v>3.2014499999999998E-4</v>
      </c>
      <c r="C58" s="6" t="s">
        <v>31</v>
      </c>
      <c r="D58" s="6" t="s">
        <v>28</v>
      </c>
      <c r="F58" s="6" t="s">
        <v>29</v>
      </c>
      <c r="H58" s="6" t="s">
        <v>77</v>
      </c>
    </row>
    <row r="59" spans="1:8" s="6" customFormat="1" x14ac:dyDescent="0.25">
      <c r="A59" s="6" t="s">
        <v>33</v>
      </c>
      <c r="B59" s="7">
        <f>-24.773/1000</f>
        <v>-2.4773E-2</v>
      </c>
      <c r="C59" s="6" t="s">
        <v>31</v>
      </c>
      <c r="E59" s="6" t="s">
        <v>16</v>
      </c>
      <c r="F59" s="6" t="s">
        <v>14</v>
      </c>
      <c r="G59" s="6" t="s">
        <v>34</v>
      </c>
    </row>
    <row r="60" spans="1:8" s="6" customFormat="1" x14ac:dyDescent="0.25">
      <c r="B60" s="7"/>
    </row>
    <row r="61" spans="1:8" s="6" customFormat="1" ht="15.75" x14ac:dyDescent="0.25">
      <c r="A61" s="4" t="s">
        <v>0</v>
      </c>
      <c r="B61" s="5" t="s">
        <v>75</v>
      </c>
    </row>
    <row r="62" spans="1:8" s="6" customFormat="1" x14ac:dyDescent="0.25">
      <c r="A62" s="6" t="s">
        <v>1</v>
      </c>
      <c r="B62" s="7" t="s">
        <v>151</v>
      </c>
    </row>
    <row r="63" spans="1:8" s="6" customFormat="1" x14ac:dyDescent="0.25">
      <c r="A63" s="6" t="s">
        <v>2</v>
      </c>
      <c r="B63" s="7" t="s">
        <v>32</v>
      </c>
    </row>
    <row r="64" spans="1:8" s="6" customFormat="1" x14ac:dyDescent="0.25">
      <c r="A64" s="6" t="s">
        <v>4</v>
      </c>
      <c r="B64" s="7">
        <v>1</v>
      </c>
    </row>
    <row r="65" spans="1:8" s="6" customFormat="1" x14ac:dyDescent="0.25">
      <c r="A65" s="6" t="s">
        <v>5</v>
      </c>
      <c r="B65" s="7" t="s">
        <v>76</v>
      </c>
    </row>
    <row r="66" spans="1:8" s="6" customFormat="1" x14ac:dyDescent="0.25">
      <c r="A66" s="6" t="s">
        <v>6</v>
      </c>
      <c r="B66" s="7" t="s">
        <v>7</v>
      </c>
    </row>
    <row r="67" spans="1:8" s="6" customFormat="1" x14ac:dyDescent="0.25">
      <c r="A67" s="6" t="s">
        <v>8</v>
      </c>
      <c r="B67" s="7" t="s">
        <v>43</v>
      </c>
    </row>
    <row r="68" spans="1:8" s="6" customFormat="1" x14ac:dyDescent="0.25">
      <c r="A68" s="8" t="s">
        <v>9</v>
      </c>
      <c r="B68" s="7"/>
    </row>
    <row r="69" spans="1:8" s="8" customFormat="1" x14ac:dyDescent="0.25">
      <c r="A69" s="8" t="s">
        <v>10</v>
      </c>
      <c r="B69" s="16" t="s">
        <v>11</v>
      </c>
      <c r="C69" s="8" t="s">
        <v>6</v>
      </c>
      <c r="D69" s="8" t="s">
        <v>26</v>
      </c>
      <c r="E69" s="8" t="s">
        <v>2</v>
      </c>
      <c r="F69" s="8" t="s">
        <v>12</v>
      </c>
      <c r="G69" s="8" t="s">
        <v>5</v>
      </c>
      <c r="H69" s="8" t="s">
        <v>1</v>
      </c>
    </row>
    <row r="70" spans="1:8" s="6" customFormat="1" x14ac:dyDescent="0.25">
      <c r="A70" s="6" t="s">
        <v>75</v>
      </c>
      <c r="B70" s="7">
        <v>1</v>
      </c>
      <c r="C70" s="6" t="s">
        <v>7</v>
      </c>
      <c r="E70" s="6" t="s">
        <v>32</v>
      </c>
      <c r="F70" s="6" t="s">
        <v>13</v>
      </c>
      <c r="G70" s="6" t="s">
        <v>76</v>
      </c>
    </row>
    <row r="71" spans="1:8" s="6" customFormat="1" x14ac:dyDescent="0.25">
      <c r="A71" s="6" t="s">
        <v>18</v>
      </c>
      <c r="B71" s="7">
        <f>2100/1000</f>
        <v>2.1</v>
      </c>
      <c r="C71" s="6" t="s">
        <v>19</v>
      </c>
      <c r="E71" s="6" t="s">
        <v>32</v>
      </c>
      <c r="F71" s="6" t="s">
        <v>14</v>
      </c>
      <c r="G71" s="6" t="s">
        <v>20</v>
      </c>
      <c r="H71" s="6" t="s">
        <v>78</v>
      </c>
    </row>
    <row r="72" spans="1:8" s="6" customFormat="1" x14ac:dyDescent="0.25">
      <c r="A72" s="6" t="s">
        <v>47</v>
      </c>
      <c r="B72" s="7">
        <f>0.415/1000*43.4</f>
        <v>1.8010999999999999E-2</v>
      </c>
      <c r="C72" s="6" t="s">
        <v>24</v>
      </c>
      <c r="E72" s="6" t="s">
        <v>3</v>
      </c>
      <c r="F72" s="6" t="s">
        <v>14</v>
      </c>
      <c r="G72" s="6" t="s">
        <v>48</v>
      </c>
      <c r="H72" s="6" t="s">
        <v>79</v>
      </c>
    </row>
    <row r="73" spans="1:8" s="6" customFormat="1" x14ac:dyDescent="0.25">
      <c r="A73" s="6" t="s">
        <v>80</v>
      </c>
      <c r="B73" s="7">
        <f>2220/1000</f>
        <v>2.2200000000000002</v>
      </c>
      <c r="C73" s="6" t="s">
        <v>7</v>
      </c>
      <c r="E73" s="6" t="s">
        <v>32</v>
      </c>
      <c r="F73" s="6" t="s">
        <v>14</v>
      </c>
      <c r="G73" s="6" t="s">
        <v>81</v>
      </c>
      <c r="H73" s="6" t="s">
        <v>82</v>
      </c>
    </row>
    <row r="74" spans="1:8" s="6" customFormat="1" x14ac:dyDescent="0.25">
      <c r="B74" s="7"/>
    </row>
    <row r="75" spans="1:8" s="6" customFormat="1" ht="15.75" x14ac:dyDescent="0.25">
      <c r="A75" s="4" t="s">
        <v>0</v>
      </c>
      <c r="B75" s="5" t="s">
        <v>80</v>
      </c>
    </row>
    <row r="76" spans="1:8" s="6" customFormat="1" x14ac:dyDescent="0.25">
      <c r="A76" s="6" t="s">
        <v>1</v>
      </c>
      <c r="B76" s="7" t="s">
        <v>152</v>
      </c>
    </row>
    <row r="77" spans="1:8" s="6" customFormat="1" x14ac:dyDescent="0.25">
      <c r="A77" s="6" t="s">
        <v>2</v>
      </c>
      <c r="B77" s="7" t="s">
        <v>32</v>
      </c>
    </row>
    <row r="78" spans="1:8" s="6" customFormat="1" x14ac:dyDescent="0.25">
      <c r="A78" s="6" t="s">
        <v>4</v>
      </c>
      <c r="B78" s="7">
        <v>1</v>
      </c>
    </row>
    <row r="79" spans="1:8" s="6" customFormat="1" x14ac:dyDescent="0.25">
      <c r="A79" s="6" t="s">
        <v>5</v>
      </c>
      <c r="B79" s="7" t="s">
        <v>81</v>
      </c>
    </row>
    <row r="80" spans="1:8" s="6" customFormat="1" x14ac:dyDescent="0.25">
      <c r="A80" s="6" t="s">
        <v>6</v>
      </c>
      <c r="B80" s="7" t="s">
        <v>7</v>
      </c>
    </row>
    <row r="81" spans="1:8" s="6" customFormat="1" x14ac:dyDescent="0.25">
      <c r="A81" s="6" t="s">
        <v>8</v>
      </c>
      <c r="B81" s="7" t="s">
        <v>43</v>
      </c>
    </row>
    <row r="82" spans="1:8" s="6" customFormat="1" x14ac:dyDescent="0.25">
      <c r="A82" s="8" t="s">
        <v>9</v>
      </c>
      <c r="B82" s="7"/>
    </row>
    <row r="83" spans="1:8" s="8" customFormat="1" x14ac:dyDescent="0.25">
      <c r="A83" s="8" t="s">
        <v>10</v>
      </c>
      <c r="B83" s="16" t="s">
        <v>11</v>
      </c>
      <c r="C83" s="8" t="s">
        <v>6</v>
      </c>
      <c r="D83" s="8" t="s">
        <v>26</v>
      </c>
      <c r="E83" s="8" t="s">
        <v>2</v>
      </c>
      <c r="F83" s="8" t="s">
        <v>12</v>
      </c>
      <c r="G83" s="8" t="s">
        <v>5</v>
      </c>
      <c r="H83" s="8" t="s">
        <v>1</v>
      </c>
    </row>
    <row r="84" spans="1:8" s="6" customFormat="1" x14ac:dyDescent="0.25">
      <c r="A84" s="6" t="s">
        <v>80</v>
      </c>
      <c r="B84" s="7">
        <v>1</v>
      </c>
      <c r="C84" s="6" t="s">
        <v>7</v>
      </c>
      <c r="E84" s="6" t="s">
        <v>32</v>
      </c>
      <c r="F84" s="6" t="s">
        <v>13</v>
      </c>
      <c r="G84" s="6" t="s">
        <v>81</v>
      </c>
    </row>
    <row r="85" spans="1:8" s="6" customFormat="1" x14ac:dyDescent="0.25">
      <c r="A85" s="6" t="s">
        <v>18</v>
      </c>
      <c r="B85" s="7">
        <f>506/1000</f>
        <v>0.50600000000000001</v>
      </c>
      <c r="C85" s="6" t="s">
        <v>19</v>
      </c>
      <c r="E85" s="6" t="s">
        <v>32</v>
      </c>
      <c r="F85" s="6" t="s">
        <v>14</v>
      </c>
      <c r="G85" s="6" t="s">
        <v>20</v>
      </c>
      <c r="H85" s="6" t="s">
        <v>83</v>
      </c>
    </row>
    <row r="86" spans="1:8" s="6" customFormat="1" x14ac:dyDescent="0.25">
      <c r="A86" s="6" t="s">
        <v>47</v>
      </c>
      <c r="B86" s="7">
        <f>0.996*43.4/1000</f>
        <v>4.3226399999999998E-2</v>
      </c>
      <c r="C86" s="6" t="s">
        <v>24</v>
      </c>
      <c r="E86" s="6" t="s">
        <v>3</v>
      </c>
      <c r="F86" s="6" t="s">
        <v>14</v>
      </c>
      <c r="G86" s="6" t="s">
        <v>48</v>
      </c>
      <c r="H86" s="6" t="s">
        <v>84</v>
      </c>
    </row>
    <row r="87" spans="1:8" s="6" customFormat="1" x14ac:dyDescent="0.25">
      <c r="A87" s="6" t="s">
        <v>85</v>
      </c>
      <c r="B87" s="7">
        <f>50/1000</f>
        <v>0.05</v>
      </c>
      <c r="C87" s="6" t="s">
        <v>7</v>
      </c>
      <c r="E87" s="6" t="s">
        <v>32</v>
      </c>
      <c r="F87" s="6" t="s">
        <v>14</v>
      </c>
      <c r="G87" s="6" t="s">
        <v>86</v>
      </c>
      <c r="H87" s="6" t="s">
        <v>87</v>
      </c>
    </row>
    <row r="88" spans="1:8" s="6" customFormat="1" x14ac:dyDescent="0.25">
      <c r="A88" s="6" t="s">
        <v>161</v>
      </c>
      <c r="B88" s="7">
        <f>9590/1000</f>
        <v>9.59</v>
      </c>
      <c r="C88" s="6" t="s">
        <v>7</v>
      </c>
      <c r="E88" s="6" t="s">
        <v>3</v>
      </c>
      <c r="F88" s="6" t="s">
        <v>14</v>
      </c>
      <c r="G88" s="6" t="s">
        <v>89</v>
      </c>
      <c r="H88" s="6" t="s">
        <v>90</v>
      </c>
    </row>
    <row r="89" spans="1:8" s="6" customFormat="1" x14ac:dyDescent="0.25">
      <c r="A89" s="6" t="s">
        <v>91</v>
      </c>
      <c r="B89" s="7">
        <f>1.551/1000</f>
        <v>1.5509999999999999E-3</v>
      </c>
      <c r="C89" s="6" t="s">
        <v>7</v>
      </c>
      <c r="E89" s="6" t="s">
        <v>16</v>
      </c>
      <c r="F89" s="6" t="s">
        <v>14</v>
      </c>
      <c r="G89" s="6" t="s">
        <v>92</v>
      </c>
      <c r="H89" s="6" t="s">
        <v>93</v>
      </c>
    </row>
    <row r="90" spans="1:8" s="6" customFormat="1" x14ac:dyDescent="0.25">
      <c r="A90" s="6" t="s">
        <v>15</v>
      </c>
      <c r="B90" s="7">
        <f>22.027*1000/1000</f>
        <v>22.027000000000001</v>
      </c>
      <c r="C90" s="6" t="s">
        <v>7</v>
      </c>
      <c r="E90" s="6" t="s">
        <v>16</v>
      </c>
      <c r="F90" s="6" t="s">
        <v>14</v>
      </c>
      <c r="G90" s="6" t="s">
        <v>17</v>
      </c>
      <c r="H90" s="6" t="s">
        <v>94</v>
      </c>
    </row>
    <row r="91" spans="1:8" s="6" customFormat="1" x14ac:dyDescent="0.25">
      <c r="A91" s="6" t="s">
        <v>27</v>
      </c>
      <c r="B91" s="7">
        <f>183.33/1000</f>
        <v>0.18333000000000002</v>
      </c>
      <c r="C91" s="6" t="s">
        <v>7</v>
      </c>
      <c r="D91" s="6" t="s">
        <v>28</v>
      </c>
      <c r="F91" s="6" t="s">
        <v>29</v>
      </c>
      <c r="H91" s="6" t="s">
        <v>57</v>
      </c>
    </row>
    <row r="92" spans="1:8" s="6" customFormat="1" x14ac:dyDescent="0.25">
      <c r="A92" s="6" t="s">
        <v>30</v>
      </c>
      <c r="B92" s="7">
        <f>320.145/1000</f>
        <v>0.32014499999999996</v>
      </c>
      <c r="C92" s="6" t="s">
        <v>31</v>
      </c>
      <c r="D92" s="6" t="s">
        <v>28</v>
      </c>
      <c r="F92" s="6" t="s">
        <v>29</v>
      </c>
      <c r="H92" s="6" t="s">
        <v>77</v>
      </c>
    </row>
    <row r="93" spans="1:8" s="6" customFormat="1" x14ac:dyDescent="0.25">
      <c r="A93" s="6" t="s">
        <v>33</v>
      </c>
      <c r="B93" s="7">
        <f>21.707/1000</f>
        <v>2.1707000000000001E-2</v>
      </c>
      <c r="C93" s="6" t="s">
        <v>31</v>
      </c>
      <c r="E93" s="6" t="s">
        <v>16</v>
      </c>
      <c r="F93" s="6" t="s">
        <v>14</v>
      </c>
      <c r="G93" s="6" t="s">
        <v>34</v>
      </c>
      <c r="H93" s="6" t="s">
        <v>95</v>
      </c>
    </row>
    <row r="94" spans="1:8" s="6" customFormat="1" x14ac:dyDescent="0.25">
      <c r="A94" s="6" t="s">
        <v>96</v>
      </c>
      <c r="B94" s="7">
        <f>-8596/1000</f>
        <v>-8.5960000000000001</v>
      </c>
      <c r="C94" s="6" t="s">
        <v>7</v>
      </c>
      <c r="E94" s="6" t="s">
        <v>3</v>
      </c>
      <c r="F94" s="6" t="s">
        <v>14</v>
      </c>
      <c r="G94" s="6" t="s">
        <v>97</v>
      </c>
    </row>
    <row r="95" spans="1:8" s="6" customFormat="1" x14ac:dyDescent="0.25">
      <c r="A95" s="6" t="s">
        <v>22</v>
      </c>
      <c r="B95" s="7">
        <f>(2*B88)/1000</f>
        <v>1.9179999999999999E-2</v>
      </c>
      <c r="C95" s="6" t="s">
        <v>21</v>
      </c>
      <c r="E95" s="6" t="s">
        <v>16</v>
      </c>
      <c r="F95" s="6" t="s">
        <v>14</v>
      </c>
      <c r="G95" s="6" t="s">
        <v>23</v>
      </c>
      <c r="H95" s="6" t="s">
        <v>98</v>
      </c>
    </row>
    <row r="96" spans="1:8" s="6" customFormat="1" x14ac:dyDescent="0.25">
      <c r="B96" s="7"/>
    </row>
    <row r="97" spans="1:10" s="6" customFormat="1" ht="15.75" x14ac:dyDescent="0.25">
      <c r="A97" s="4" t="s">
        <v>0</v>
      </c>
      <c r="B97" s="5" t="s">
        <v>161</v>
      </c>
    </row>
    <row r="98" spans="1:10" s="6" customFormat="1" x14ac:dyDescent="0.25">
      <c r="A98" s="6" t="s">
        <v>1</v>
      </c>
      <c r="B98" s="7" t="s">
        <v>158</v>
      </c>
    </row>
    <row r="99" spans="1:10" s="6" customFormat="1" x14ac:dyDescent="0.25">
      <c r="A99" s="6" t="s">
        <v>2</v>
      </c>
      <c r="B99" s="7" t="s">
        <v>3</v>
      </c>
    </row>
    <row r="100" spans="1:10" s="6" customFormat="1" x14ac:dyDescent="0.25">
      <c r="A100" s="6" t="s">
        <v>4</v>
      </c>
      <c r="B100" s="7">
        <v>1</v>
      </c>
    </row>
    <row r="101" spans="1:10" s="6" customFormat="1" x14ac:dyDescent="0.25">
      <c r="A101" s="6" t="s">
        <v>5</v>
      </c>
      <c r="B101" s="7" t="s">
        <v>89</v>
      </c>
    </row>
    <row r="102" spans="1:10" s="6" customFormat="1" x14ac:dyDescent="0.25">
      <c r="A102" s="6" t="s">
        <v>6</v>
      </c>
      <c r="B102" s="7" t="s">
        <v>7</v>
      </c>
    </row>
    <row r="103" spans="1:10" s="6" customFormat="1" x14ac:dyDescent="0.25">
      <c r="A103" s="6" t="s">
        <v>8</v>
      </c>
      <c r="B103" s="7"/>
    </row>
    <row r="104" spans="1:10" s="6" customFormat="1" x14ac:dyDescent="0.25">
      <c r="A104" s="8" t="s">
        <v>9</v>
      </c>
      <c r="B104" s="7"/>
    </row>
    <row r="105" spans="1:10" s="6" customFormat="1" x14ac:dyDescent="0.25">
      <c r="A105" s="8" t="s">
        <v>10</v>
      </c>
      <c r="B105" s="16" t="s">
        <v>11</v>
      </c>
      <c r="C105" s="8" t="s">
        <v>6</v>
      </c>
      <c r="D105" s="8" t="s">
        <v>26</v>
      </c>
      <c r="E105" s="8" t="s">
        <v>2</v>
      </c>
      <c r="F105" s="8" t="s">
        <v>12</v>
      </c>
      <c r="G105" s="8" t="s">
        <v>5</v>
      </c>
      <c r="H105" s="8" t="s">
        <v>1</v>
      </c>
      <c r="I105" s="8"/>
      <c r="J105" s="8"/>
    </row>
    <row r="106" spans="1:10" s="6" customFormat="1" x14ac:dyDescent="0.25">
      <c r="A106" s="6" t="s">
        <v>161</v>
      </c>
      <c r="B106" s="7">
        <v>1</v>
      </c>
      <c r="C106" s="6" t="s">
        <v>7</v>
      </c>
      <c r="E106" s="6" t="s">
        <v>3</v>
      </c>
      <c r="F106" s="6" t="s">
        <v>13</v>
      </c>
      <c r="G106" s="6" t="s">
        <v>89</v>
      </c>
    </row>
    <row r="107" spans="1:10" s="6" customFormat="1" x14ac:dyDescent="0.25">
      <c r="A107" s="6" t="s">
        <v>88</v>
      </c>
      <c r="B107" s="7">
        <v>1</v>
      </c>
      <c r="C107" s="6" t="s">
        <v>7</v>
      </c>
      <c r="E107" s="6" t="s">
        <v>32</v>
      </c>
      <c r="F107" s="6" t="s">
        <v>14</v>
      </c>
      <c r="G107" s="6" t="s">
        <v>89</v>
      </c>
    </row>
    <row r="108" spans="1:10" s="6" customFormat="1" x14ac:dyDescent="0.25">
      <c r="B108" s="7"/>
    </row>
    <row r="109" spans="1:10" s="6" customFormat="1" x14ac:dyDescent="0.25">
      <c r="B109" s="7"/>
    </row>
    <row r="110" spans="1:10" s="6" customFormat="1" ht="15.75" x14ac:dyDescent="0.25">
      <c r="A110" s="4" t="s">
        <v>0</v>
      </c>
      <c r="B110" s="5" t="s">
        <v>88</v>
      </c>
    </row>
    <row r="111" spans="1:10" s="6" customFormat="1" x14ac:dyDescent="0.25">
      <c r="A111" s="6" t="s">
        <v>1</v>
      </c>
      <c r="B111" s="7" t="s">
        <v>153</v>
      </c>
    </row>
    <row r="112" spans="1:10" s="6" customFormat="1" x14ac:dyDescent="0.25">
      <c r="A112" s="6" t="s">
        <v>2</v>
      </c>
      <c r="B112" s="7" t="s">
        <v>32</v>
      </c>
    </row>
    <row r="113" spans="1:8" s="6" customFormat="1" x14ac:dyDescent="0.25">
      <c r="A113" s="6" t="s">
        <v>4</v>
      </c>
      <c r="B113" s="7">
        <v>1</v>
      </c>
    </row>
    <row r="114" spans="1:8" s="6" customFormat="1" x14ac:dyDescent="0.25">
      <c r="A114" s="6" t="s">
        <v>5</v>
      </c>
      <c r="B114" s="7" t="s">
        <v>89</v>
      </c>
    </row>
    <row r="115" spans="1:8" s="6" customFormat="1" x14ac:dyDescent="0.25">
      <c r="A115" s="6" t="s">
        <v>6</v>
      </c>
      <c r="B115" s="7" t="s">
        <v>7</v>
      </c>
    </row>
    <row r="116" spans="1:8" s="6" customFormat="1" x14ac:dyDescent="0.25">
      <c r="A116" s="6" t="s">
        <v>8</v>
      </c>
      <c r="B116" s="7" t="s">
        <v>43</v>
      </c>
    </row>
    <row r="117" spans="1:8" s="6" customFormat="1" x14ac:dyDescent="0.25">
      <c r="A117" s="8" t="s">
        <v>9</v>
      </c>
      <c r="B117" s="7"/>
    </row>
    <row r="118" spans="1:8" s="8" customFormat="1" x14ac:dyDescent="0.25">
      <c r="A118" s="8" t="s">
        <v>10</v>
      </c>
      <c r="B118" s="16" t="s">
        <v>11</v>
      </c>
      <c r="C118" s="8" t="s">
        <v>6</v>
      </c>
      <c r="D118" s="8" t="s">
        <v>26</v>
      </c>
      <c r="E118" s="8" t="s">
        <v>2</v>
      </c>
      <c r="F118" s="8" t="s">
        <v>12</v>
      </c>
      <c r="G118" s="8" t="s">
        <v>5</v>
      </c>
      <c r="H118" s="8" t="s">
        <v>1</v>
      </c>
    </row>
    <row r="119" spans="1:8" s="6" customFormat="1" x14ac:dyDescent="0.25">
      <c r="A119" s="6" t="s">
        <v>88</v>
      </c>
      <c r="B119" s="7">
        <v>1</v>
      </c>
      <c r="C119" s="6" t="s">
        <v>7</v>
      </c>
      <c r="E119" s="6" t="s">
        <v>32</v>
      </c>
      <c r="F119" s="6" t="s">
        <v>13</v>
      </c>
      <c r="G119" s="6" t="s">
        <v>89</v>
      </c>
    </row>
    <row r="120" spans="1:8" s="6" customFormat="1" x14ac:dyDescent="0.25">
      <c r="A120" s="6" t="s">
        <v>18</v>
      </c>
      <c r="B120" s="7">
        <f>8.7/1000</f>
        <v>8.6999999999999994E-3</v>
      </c>
      <c r="C120" s="6" t="s">
        <v>19</v>
      </c>
      <c r="E120" s="6" t="s">
        <v>32</v>
      </c>
      <c r="F120" s="6" t="s">
        <v>14</v>
      </c>
      <c r="G120" s="6" t="s">
        <v>20</v>
      </c>
      <c r="H120" s="6" t="s">
        <v>99</v>
      </c>
    </row>
    <row r="121" spans="1:8" s="6" customFormat="1" x14ac:dyDescent="0.25">
      <c r="A121" s="6" t="s">
        <v>47</v>
      </c>
      <c r="B121" s="7">
        <f>2.241*43.4/1000</f>
        <v>9.7259399999999996E-2</v>
      </c>
      <c r="C121" s="6" t="s">
        <v>24</v>
      </c>
      <c r="E121" s="6" t="s">
        <v>3</v>
      </c>
      <c r="F121" s="6" t="s">
        <v>14</v>
      </c>
      <c r="G121" s="6" t="s">
        <v>48</v>
      </c>
      <c r="H121" s="6" t="s">
        <v>100</v>
      </c>
    </row>
    <row r="122" spans="1:8" s="6" customFormat="1" x14ac:dyDescent="0.25">
      <c r="A122" s="6" t="s">
        <v>101</v>
      </c>
      <c r="B122" s="7">
        <f>0.248/1000</f>
        <v>2.4800000000000001E-4</v>
      </c>
      <c r="C122" s="6" t="s">
        <v>7</v>
      </c>
      <c r="E122" s="6" t="s">
        <v>3</v>
      </c>
      <c r="F122" s="6" t="s">
        <v>14</v>
      </c>
      <c r="G122" s="6" t="s">
        <v>102</v>
      </c>
      <c r="H122" s="6" t="s">
        <v>103</v>
      </c>
    </row>
    <row r="123" spans="1:8" s="6" customFormat="1" x14ac:dyDescent="0.25">
      <c r="A123" s="6" t="s">
        <v>27</v>
      </c>
      <c r="B123" s="7">
        <f>0.04/1000</f>
        <v>4.0000000000000003E-5</v>
      </c>
      <c r="C123" s="6" t="s">
        <v>7</v>
      </c>
      <c r="D123" s="6" t="s">
        <v>28</v>
      </c>
      <c r="F123" s="6" t="s">
        <v>29</v>
      </c>
      <c r="H123" s="6" t="s">
        <v>104</v>
      </c>
    </row>
    <row r="124" spans="1:8" s="6" customFormat="1" x14ac:dyDescent="0.25">
      <c r="A124" s="6" t="s">
        <v>30</v>
      </c>
      <c r="B124" s="7">
        <f>0.113/1000/1000</f>
        <v>1.1300000000000001E-7</v>
      </c>
      <c r="C124" s="6" t="s">
        <v>31</v>
      </c>
      <c r="D124" s="6" t="s">
        <v>28</v>
      </c>
      <c r="F124" s="6" t="s">
        <v>29</v>
      </c>
      <c r="H124" s="6" t="s">
        <v>105</v>
      </c>
    </row>
    <row r="125" spans="1:8" s="6" customFormat="1" x14ac:dyDescent="0.25">
      <c r="A125" s="6" t="s">
        <v>106</v>
      </c>
      <c r="B125" s="7">
        <f>0.138/1000</f>
        <v>1.3800000000000002E-4</v>
      </c>
      <c r="C125" s="6" t="s">
        <v>7</v>
      </c>
      <c r="D125" s="6" t="s">
        <v>28</v>
      </c>
      <c r="F125" s="6" t="s">
        <v>29</v>
      </c>
      <c r="H125" s="6" t="s">
        <v>105</v>
      </c>
    </row>
    <row r="126" spans="1:8" s="6" customFormat="1" x14ac:dyDescent="0.25">
      <c r="A126" s="6" t="s">
        <v>107</v>
      </c>
      <c r="B126" s="7">
        <f>5/1000</f>
        <v>5.0000000000000001E-3</v>
      </c>
      <c r="C126" s="6" t="s">
        <v>7</v>
      </c>
      <c r="D126" s="6" t="s">
        <v>28</v>
      </c>
      <c r="F126" s="6" t="s">
        <v>29</v>
      </c>
      <c r="H126" s="6" t="s">
        <v>108</v>
      </c>
    </row>
    <row r="127" spans="1:8" s="6" customFormat="1" x14ac:dyDescent="0.25">
      <c r="A127" s="6" t="s">
        <v>159</v>
      </c>
      <c r="B127" s="6">
        <v>1.0526005961878699</v>
      </c>
      <c r="C127" s="6" t="s">
        <v>7</v>
      </c>
      <c r="D127" s="6" t="s">
        <v>109</v>
      </c>
      <c r="F127" s="6" t="s">
        <v>29</v>
      </c>
      <c r="H127" s="6" t="s">
        <v>160</v>
      </c>
    </row>
    <row r="129" spans="1:8" s="11" customFormat="1" ht="15.75" x14ac:dyDescent="0.25">
      <c r="A129" s="10" t="s">
        <v>0</v>
      </c>
      <c r="B129" s="10" t="s">
        <v>149</v>
      </c>
    </row>
    <row r="130" spans="1:8" s="11" customFormat="1" x14ac:dyDescent="0.25">
      <c r="A130" s="11" t="s">
        <v>1</v>
      </c>
      <c r="B130" s="11" t="s">
        <v>112</v>
      </c>
    </row>
    <row r="131" spans="1:8" s="11" customFormat="1" x14ac:dyDescent="0.25">
      <c r="A131" s="11" t="s">
        <v>2</v>
      </c>
      <c r="B131" s="11" t="s">
        <v>32</v>
      </c>
    </row>
    <row r="132" spans="1:8" s="11" customFormat="1" x14ac:dyDescent="0.25">
      <c r="A132" s="11" t="s">
        <v>4</v>
      </c>
      <c r="B132" s="11">
        <v>1</v>
      </c>
    </row>
    <row r="133" spans="1:8" s="11" customFormat="1" x14ac:dyDescent="0.25">
      <c r="A133" s="11" t="s">
        <v>5</v>
      </c>
      <c r="B133" s="11" t="s">
        <v>113</v>
      </c>
    </row>
    <row r="134" spans="1:8" s="11" customFormat="1" x14ac:dyDescent="0.25">
      <c r="A134" s="11" t="s">
        <v>6</v>
      </c>
      <c r="B134" s="11" t="s">
        <v>7</v>
      </c>
    </row>
    <row r="135" spans="1:8" s="11" customFormat="1" x14ac:dyDescent="0.25">
      <c r="A135" s="11" t="s">
        <v>8</v>
      </c>
      <c r="B135" s="11" t="s">
        <v>114</v>
      </c>
    </row>
    <row r="136" spans="1:8" s="11" customFormat="1" x14ac:dyDescent="0.25">
      <c r="A136" s="12" t="s">
        <v>9</v>
      </c>
    </row>
    <row r="137" spans="1:8" s="12" customFormat="1" x14ac:dyDescent="0.25">
      <c r="A137" s="12" t="s">
        <v>10</v>
      </c>
      <c r="B137" s="12" t="s">
        <v>11</v>
      </c>
      <c r="C137" s="12" t="s">
        <v>6</v>
      </c>
      <c r="D137" s="12" t="s">
        <v>26</v>
      </c>
      <c r="E137" s="12" t="s">
        <v>2</v>
      </c>
      <c r="F137" s="12" t="s">
        <v>12</v>
      </c>
      <c r="G137" s="12" t="s">
        <v>5</v>
      </c>
      <c r="H137" s="12" t="s">
        <v>1</v>
      </c>
    </row>
    <row r="138" spans="1:8" s="11" customFormat="1" x14ac:dyDescent="0.25">
      <c r="A138" s="11" t="s">
        <v>149</v>
      </c>
      <c r="B138" s="11">
        <v>1</v>
      </c>
      <c r="C138" s="11" t="s">
        <v>7</v>
      </c>
      <c r="E138" s="11" t="s">
        <v>32</v>
      </c>
      <c r="F138" s="11" t="s">
        <v>13</v>
      </c>
      <c r="G138" s="11" t="s">
        <v>113</v>
      </c>
      <c r="H138" s="11" t="s">
        <v>115</v>
      </c>
    </row>
    <row r="139" spans="1:8" s="11" customFormat="1" x14ac:dyDescent="0.25">
      <c r="A139" s="11" t="s">
        <v>85</v>
      </c>
      <c r="B139" s="13">
        <f>1000/24</f>
        <v>41.666666666666664</v>
      </c>
      <c r="C139" s="11" t="s">
        <v>7</v>
      </c>
      <c r="E139" s="11" t="s">
        <v>32</v>
      </c>
      <c r="F139" s="11" t="s">
        <v>14</v>
      </c>
      <c r="G139" s="11" t="s">
        <v>86</v>
      </c>
      <c r="H139" s="11" t="s">
        <v>116</v>
      </c>
    </row>
    <row r="140" spans="1:8" s="11" customFormat="1" x14ac:dyDescent="0.25">
      <c r="A140" s="11" t="s">
        <v>18</v>
      </c>
      <c r="B140" s="13">
        <f>(4200/3.6*0.03)/24</f>
        <v>1.4583333333333333</v>
      </c>
      <c r="C140" s="11" t="s">
        <v>19</v>
      </c>
      <c r="E140" s="11" t="s">
        <v>32</v>
      </c>
      <c r="F140" s="11" t="s">
        <v>14</v>
      </c>
      <c r="G140" s="11" t="s">
        <v>20</v>
      </c>
      <c r="H140" s="11" t="s">
        <v>117</v>
      </c>
    </row>
    <row r="141" spans="1:8" s="11" customFormat="1" x14ac:dyDescent="0.25">
      <c r="A141" s="11" t="s">
        <v>118</v>
      </c>
      <c r="B141" s="13">
        <f>(4200*0.97)/24</f>
        <v>169.75</v>
      </c>
      <c r="C141" s="11" t="s">
        <v>24</v>
      </c>
      <c r="E141" s="11" t="s">
        <v>16</v>
      </c>
      <c r="F141" s="11" t="s">
        <v>14</v>
      </c>
      <c r="G141" s="11" t="s">
        <v>119</v>
      </c>
    </row>
    <row r="142" spans="1:8" s="11" customFormat="1" x14ac:dyDescent="0.25">
      <c r="A142" s="11" t="s">
        <v>27</v>
      </c>
      <c r="B142" s="13">
        <f>300/24</f>
        <v>12.5</v>
      </c>
      <c r="C142" s="11" t="s">
        <v>7</v>
      </c>
      <c r="D142" s="11" t="s">
        <v>28</v>
      </c>
      <c r="F142" s="11" t="s">
        <v>29</v>
      </c>
    </row>
    <row r="143" spans="1:8" s="11" customFormat="1" x14ac:dyDescent="0.25">
      <c r="A143" s="11" t="s">
        <v>120</v>
      </c>
      <c r="B143" s="14">
        <f>AVERAGE(0.025,0.846)/24</f>
        <v>1.8145833333333333E-2</v>
      </c>
      <c r="C143" s="11" t="s">
        <v>7</v>
      </c>
      <c r="D143" s="11" t="s">
        <v>28</v>
      </c>
      <c r="F143" s="11" t="s">
        <v>29</v>
      </c>
    </row>
    <row r="144" spans="1:8" s="11" customFormat="1" x14ac:dyDescent="0.25">
      <c r="A144" s="11" t="s">
        <v>121</v>
      </c>
      <c r="B144" s="14">
        <f>AVERAGE(0.022,0.155)/24</f>
        <v>3.6874999999999998E-3</v>
      </c>
      <c r="C144" s="11" t="s">
        <v>7</v>
      </c>
      <c r="D144" s="11" t="s">
        <v>28</v>
      </c>
      <c r="F144" s="11" t="s">
        <v>29</v>
      </c>
    </row>
    <row r="145" spans="1:8" s="11" customFormat="1" x14ac:dyDescent="0.25">
      <c r="A145" s="11" t="s">
        <v>106</v>
      </c>
      <c r="B145" s="14">
        <f>AVERAGE(0.026,0.821)/24</f>
        <v>1.7645833333333333E-2</v>
      </c>
      <c r="C145" s="11" t="s">
        <v>7</v>
      </c>
      <c r="D145" s="11" t="s">
        <v>28</v>
      </c>
      <c r="F145" s="11" t="s">
        <v>29</v>
      </c>
    </row>
    <row r="146" spans="1:8" s="11" customFormat="1" x14ac:dyDescent="0.25"/>
    <row r="147" spans="1:8" s="11" customFormat="1" ht="15.75" x14ac:dyDescent="0.25">
      <c r="A147" s="10" t="s">
        <v>0</v>
      </c>
      <c r="B147" s="10" t="s">
        <v>122</v>
      </c>
    </row>
    <row r="148" spans="1:8" s="11" customFormat="1" x14ac:dyDescent="0.25">
      <c r="A148" s="11" t="s">
        <v>1</v>
      </c>
      <c r="B148" s="11" t="s">
        <v>114</v>
      </c>
    </row>
    <row r="149" spans="1:8" s="11" customFormat="1" x14ac:dyDescent="0.25">
      <c r="A149" s="11" t="s">
        <v>2</v>
      </c>
      <c r="B149" s="11" t="s">
        <v>32</v>
      </c>
    </row>
    <row r="150" spans="1:8" s="11" customFormat="1" x14ac:dyDescent="0.25">
      <c r="A150" s="11" t="s">
        <v>4</v>
      </c>
      <c r="B150" s="11">
        <v>1</v>
      </c>
    </row>
    <row r="151" spans="1:8" s="11" customFormat="1" x14ac:dyDescent="0.25">
      <c r="A151" s="11" t="s">
        <v>5</v>
      </c>
      <c r="B151" s="11" t="s">
        <v>123</v>
      </c>
    </row>
    <row r="152" spans="1:8" s="11" customFormat="1" x14ac:dyDescent="0.25">
      <c r="A152" s="11" t="s">
        <v>6</v>
      </c>
      <c r="B152" s="11" t="s">
        <v>7</v>
      </c>
    </row>
    <row r="153" spans="1:8" s="11" customFormat="1" x14ac:dyDescent="0.25">
      <c r="A153" s="11" t="s">
        <v>8</v>
      </c>
      <c r="B153" s="11" t="s">
        <v>114</v>
      </c>
    </row>
    <row r="154" spans="1:8" s="11" customFormat="1" x14ac:dyDescent="0.25">
      <c r="A154" s="12" t="s">
        <v>9</v>
      </c>
    </row>
    <row r="155" spans="1:8" s="12" customFormat="1" x14ac:dyDescent="0.25">
      <c r="A155" s="12" t="s">
        <v>10</v>
      </c>
      <c r="B155" s="12" t="s">
        <v>11</v>
      </c>
      <c r="C155" s="12" t="s">
        <v>6</v>
      </c>
      <c r="D155" s="12" t="s">
        <v>26</v>
      </c>
      <c r="E155" s="12" t="s">
        <v>2</v>
      </c>
      <c r="F155" s="12" t="s">
        <v>12</v>
      </c>
      <c r="G155" s="12" t="s">
        <v>5</v>
      </c>
      <c r="H155" s="12" t="s">
        <v>1</v>
      </c>
    </row>
    <row r="156" spans="1:8" s="11" customFormat="1" x14ac:dyDescent="0.25">
      <c r="A156" s="11" t="s">
        <v>122</v>
      </c>
      <c r="B156" s="11">
        <v>1</v>
      </c>
      <c r="C156" s="11" t="s">
        <v>7</v>
      </c>
      <c r="E156" s="11" t="s">
        <v>32</v>
      </c>
      <c r="F156" s="11" t="s">
        <v>13</v>
      </c>
      <c r="G156" s="11" t="s">
        <v>123</v>
      </c>
    </row>
    <row r="157" spans="1:8" s="11" customFormat="1" x14ac:dyDescent="0.25">
      <c r="A157" s="11" t="s">
        <v>145</v>
      </c>
      <c r="B157" s="11">
        <v>1</v>
      </c>
      <c r="C157" s="11" t="s">
        <v>7</v>
      </c>
      <c r="D157" s="11" t="s">
        <v>109</v>
      </c>
      <c r="F157" s="11" t="s">
        <v>29</v>
      </c>
    </row>
    <row r="158" spans="1:8" s="11" customFormat="1" x14ac:dyDescent="0.25">
      <c r="A158" s="11" t="s">
        <v>18</v>
      </c>
      <c r="B158" s="11">
        <f>0.937*0.085</f>
        <v>7.9645000000000007E-2</v>
      </c>
      <c r="C158" s="11" t="s">
        <v>19</v>
      </c>
      <c r="E158" s="11" t="s">
        <v>32</v>
      </c>
      <c r="F158" s="11" t="s">
        <v>14</v>
      </c>
      <c r="G158" s="11" t="s">
        <v>20</v>
      </c>
    </row>
    <row r="159" spans="1:8" s="11" customFormat="1" x14ac:dyDescent="0.25">
      <c r="A159" s="11" t="s">
        <v>124</v>
      </c>
      <c r="B159" s="11">
        <f>0.937*3.6*0.07</f>
        <v>0.23612400000000003</v>
      </c>
      <c r="C159" s="11" t="s">
        <v>24</v>
      </c>
      <c r="E159" s="11" t="s">
        <v>3</v>
      </c>
      <c r="F159" s="11" t="s">
        <v>14</v>
      </c>
      <c r="G159" s="11" t="s">
        <v>124</v>
      </c>
    </row>
    <row r="160" spans="1:8" s="11" customFormat="1" x14ac:dyDescent="0.25">
      <c r="A160" s="11" t="s">
        <v>125</v>
      </c>
      <c r="B160" s="11">
        <f>0.937*3.6*0.845</f>
        <v>2.8503540000000003</v>
      </c>
      <c r="C160" s="11" t="s">
        <v>24</v>
      </c>
      <c r="E160" s="11" t="s">
        <v>16</v>
      </c>
      <c r="F160" s="11" t="s">
        <v>14</v>
      </c>
      <c r="G160" s="11" t="s">
        <v>25</v>
      </c>
    </row>
    <row r="161" spans="1:8" s="11" customFormat="1" x14ac:dyDescent="0.25"/>
    <row r="162" spans="1:8" s="11" customFormat="1" ht="15.75" x14ac:dyDescent="0.25">
      <c r="A162" s="10" t="s">
        <v>0</v>
      </c>
      <c r="B162" s="10" t="s">
        <v>126</v>
      </c>
    </row>
    <row r="163" spans="1:8" s="11" customFormat="1" x14ac:dyDescent="0.25">
      <c r="A163" s="11" t="s">
        <v>1</v>
      </c>
      <c r="B163" s="11" t="s">
        <v>114</v>
      </c>
    </row>
    <row r="164" spans="1:8" s="11" customFormat="1" x14ac:dyDescent="0.25">
      <c r="A164" s="11" t="s">
        <v>2</v>
      </c>
      <c r="B164" s="11" t="s">
        <v>32</v>
      </c>
    </row>
    <row r="165" spans="1:8" s="11" customFormat="1" x14ac:dyDescent="0.25">
      <c r="A165" s="11" t="s">
        <v>4</v>
      </c>
      <c r="B165" s="11">
        <v>1</v>
      </c>
    </row>
    <row r="166" spans="1:8" s="11" customFormat="1" x14ac:dyDescent="0.25">
      <c r="A166" s="11" t="s">
        <v>5</v>
      </c>
      <c r="B166" s="11" t="s">
        <v>127</v>
      </c>
    </row>
    <row r="167" spans="1:8" s="11" customFormat="1" x14ac:dyDescent="0.25">
      <c r="A167" s="11" t="s">
        <v>6</v>
      </c>
      <c r="B167" s="11" t="s">
        <v>7</v>
      </c>
    </row>
    <row r="168" spans="1:8" s="11" customFormat="1" x14ac:dyDescent="0.25">
      <c r="A168" s="11" t="s">
        <v>8</v>
      </c>
      <c r="B168" s="11" t="s">
        <v>114</v>
      </c>
    </row>
    <row r="169" spans="1:8" s="11" customFormat="1" x14ac:dyDescent="0.25">
      <c r="A169" s="12" t="s">
        <v>9</v>
      </c>
    </row>
    <row r="170" spans="1:8" s="12" customFormat="1" x14ac:dyDescent="0.25">
      <c r="A170" s="12" t="s">
        <v>10</v>
      </c>
      <c r="B170" s="12" t="s">
        <v>11</v>
      </c>
      <c r="C170" s="12" t="s">
        <v>6</v>
      </c>
      <c r="D170" s="12" t="s">
        <v>26</v>
      </c>
      <c r="E170" s="12" t="s">
        <v>2</v>
      </c>
      <c r="F170" s="12" t="s">
        <v>12</v>
      </c>
      <c r="G170" s="12" t="s">
        <v>5</v>
      </c>
      <c r="H170" s="12" t="s">
        <v>1</v>
      </c>
    </row>
    <row r="171" spans="1:8" s="11" customFormat="1" x14ac:dyDescent="0.25">
      <c r="A171" s="11" t="s">
        <v>126</v>
      </c>
      <c r="B171" s="11">
        <v>1</v>
      </c>
      <c r="C171" s="11" t="s">
        <v>7</v>
      </c>
      <c r="E171" s="11" t="s">
        <v>32</v>
      </c>
      <c r="F171" s="11" t="s">
        <v>13</v>
      </c>
      <c r="G171" s="11" t="s">
        <v>127</v>
      </c>
    </row>
    <row r="172" spans="1:8" s="11" customFormat="1" x14ac:dyDescent="0.25">
      <c r="A172" s="11" t="s">
        <v>122</v>
      </c>
      <c r="B172" s="13">
        <f>1/0.025</f>
        <v>40</v>
      </c>
      <c r="C172" s="11" t="s">
        <v>7</v>
      </c>
      <c r="E172" s="11" t="s">
        <v>32</v>
      </c>
      <c r="F172" s="11" t="s">
        <v>14</v>
      </c>
      <c r="G172" s="11" t="s">
        <v>123</v>
      </c>
    </row>
    <row r="173" spans="1:8" s="11" customFormat="1" x14ac:dyDescent="0.25">
      <c r="A173" s="11" t="s">
        <v>18</v>
      </c>
      <c r="B173" s="13">
        <f>0.249*0.1/0.025</f>
        <v>0.996</v>
      </c>
      <c r="C173" s="11" t="s">
        <v>19</v>
      </c>
      <c r="E173" s="11" t="s">
        <v>32</v>
      </c>
      <c r="F173" s="11" t="s">
        <v>14</v>
      </c>
      <c r="G173" s="11" t="s">
        <v>20</v>
      </c>
      <c r="H173" s="11" t="s">
        <v>128</v>
      </c>
    </row>
    <row r="174" spans="1:8" s="11" customFormat="1" x14ac:dyDescent="0.25">
      <c r="A174" s="11" t="s">
        <v>118</v>
      </c>
      <c r="B174" s="13">
        <f>(0.249*0.9*3.6)/0.025</f>
        <v>32.270400000000002</v>
      </c>
      <c r="C174" s="11" t="s">
        <v>24</v>
      </c>
      <c r="E174" s="11" t="s">
        <v>16</v>
      </c>
      <c r="F174" s="11" t="s">
        <v>14</v>
      </c>
      <c r="G174" s="11" t="s">
        <v>119</v>
      </c>
      <c r="H174" s="11" t="s">
        <v>154</v>
      </c>
    </row>
    <row r="175" spans="1:8" s="11" customFormat="1" x14ac:dyDescent="0.25">
      <c r="A175" s="11" t="s">
        <v>18</v>
      </c>
      <c r="B175" s="13">
        <f>(0.146*0.1)/0.025</f>
        <v>0.58399999999999996</v>
      </c>
      <c r="C175" s="11" t="s">
        <v>19</v>
      </c>
      <c r="E175" s="11" t="s">
        <v>32</v>
      </c>
      <c r="F175" s="11" t="s">
        <v>14</v>
      </c>
      <c r="G175" s="11" t="s">
        <v>20</v>
      </c>
      <c r="H175" s="11" t="s">
        <v>129</v>
      </c>
    </row>
    <row r="176" spans="1:8" s="11" customFormat="1" x14ac:dyDescent="0.25">
      <c r="A176" s="11" t="s">
        <v>118</v>
      </c>
      <c r="B176" s="13">
        <f>(0.146*0.9*3.6)/0.025</f>
        <v>18.921599999999998</v>
      </c>
      <c r="C176" s="11" t="s">
        <v>24</v>
      </c>
      <c r="E176" s="11" t="s">
        <v>16</v>
      </c>
      <c r="F176" s="11" t="s">
        <v>14</v>
      </c>
      <c r="G176" s="11" t="s">
        <v>119</v>
      </c>
      <c r="H176" s="11" t="s">
        <v>157</v>
      </c>
    </row>
    <row r="177" spans="1:8" s="11" customFormat="1" x14ac:dyDescent="0.25">
      <c r="A177" s="11" t="s">
        <v>18</v>
      </c>
      <c r="B177" s="13">
        <f>(0.318*0.05)/0.025</f>
        <v>0.63600000000000001</v>
      </c>
      <c r="C177" s="11" t="s">
        <v>19</v>
      </c>
      <c r="E177" s="11" t="s">
        <v>32</v>
      </c>
      <c r="F177" s="11" t="s">
        <v>14</v>
      </c>
      <c r="G177" s="11" t="s">
        <v>20</v>
      </c>
      <c r="H177" s="11" t="s">
        <v>155</v>
      </c>
    </row>
    <row r="178" spans="1:8" s="11" customFormat="1" x14ac:dyDescent="0.25">
      <c r="A178" s="11" t="s">
        <v>118</v>
      </c>
      <c r="B178" s="13">
        <f>(0.318*0.95*3.6)/0.025</f>
        <v>43.502399999999994</v>
      </c>
      <c r="C178" s="11" t="s">
        <v>24</v>
      </c>
      <c r="E178" s="11" t="s">
        <v>16</v>
      </c>
      <c r="F178" s="11" t="s">
        <v>14</v>
      </c>
      <c r="G178" s="11" t="s">
        <v>119</v>
      </c>
      <c r="H178" s="11" t="s">
        <v>156</v>
      </c>
    </row>
    <row r="179" spans="1:8" s="11" customFormat="1" x14ac:dyDescent="0.25">
      <c r="A179" s="11" t="s">
        <v>27</v>
      </c>
      <c r="B179" s="13">
        <f>0.275/0.025</f>
        <v>11</v>
      </c>
      <c r="C179" s="11" t="s">
        <v>7</v>
      </c>
      <c r="D179" s="11" t="s">
        <v>28</v>
      </c>
      <c r="F179" s="11" t="s">
        <v>29</v>
      </c>
    </row>
    <row r="180" spans="1:8" s="11" customFormat="1" x14ac:dyDescent="0.25"/>
    <row r="181" spans="1:8" s="11" customFormat="1" ht="15.75" x14ac:dyDescent="0.25">
      <c r="A181" s="10" t="s">
        <v>0</v>
      </c>
      <c r="B181" s="10" t="s">
        <v>130</v>
      </c>
    </row>
    <row r="182" spans="1:8" s="11" customFormat="1" x14ac:dyDescent="0.25">
      <c r="A182" s="11" t="s">
        <v>1</v>
      </c>
      <c r="B182" s="11" t="s">
        <v>131</v>
      </c>
    </row>
    <row r="183" spans="1:8" s="11" customFormat="1" x14ac:dyDescent="0.25">
      <c r="A183" s="11" t="s">
        <v>2</v>
      </c>
      <c r="B183" s="11" t="s">
        <v>32</v>
      </c>
    </row>
    <row r="184" spans="1:8" s="11" customFormat="1" x14ac:dyDescent="0.25">
      <c r="A184" s="11" t="s">
        <v>4</v>
      </c>
      <c r="B184" s="11">
        <v>1</v>
      </c>
    </row>
    <row r="185" spans="1:8" s="11" customFormat="1" x14ac:dyDescent="0.25">
      <c r="A185" s="11" t="s">
        <v>5</v>
      </c>
      <c r="B185" s="11" t="s">
        <v>132</v>
      </c>
    </row>
    <row r="186" spans="1:8" s="11" customFormat="1" x14ac:dyDescent="0.25">
      <c r="A186" s="11" t="s">
        <v>6</v>
      </c>
      <c r="B186" s="11" t="s">
        <v>7</v>
      </c>
    </row>
    <row r="187" spans="1:8" s="11" customFormat="1" x14ac:dyDescent="0.25">
      <c r="A187" s="11" t="s">
        <v>8</v>
      </c>
      <c r="B187" s="11" t="s">
        <v>114</v>
      </c>
    </row>
    <row r="188" spans="1:8" s="11" customFormat="1" x14ac:dyDescent="0.25">
      <c r="A188" s="12" t="s">
        <v>9</v>
      </c>
    </row>
    <row r="189" spans="1:8" s="12" customFormat="1" x14ac:dyDescent="0.25">
      <c r="A189" s="12" t="s">
        <v>10</v>
      </c>
      <c r="B189" s="12" t="s">
        <v>11</v>
      </c>
      <c r="C189" s="12" t="s">
        <v>6</v>
      </c>
      <c r="D189" s="12" t="s">
        <v>26</v>
      </c>
      <c r="E189" s="12" t="s">
        <v>2</v>
      </c>
      <c r="F189" s="12" t="s">
        <v>12</v>
      </c>
      <c r="G189" s="12" t="s">
        <v>5</v>
      </c>
      <c r="H189" s="12" t="s">
        <v>1</v>
      </c>
    </row>
    <row r="190" spans="1:8" s="11" customFormat="1" x14ac:dyDescent="0.25">
      <c r="A190" s="11" t="s">
        <v>130</v>
      </c>
      <c r="B190" s="11">
        <v>1</v>
      </c>
      <c r="C190" s="11" t="s">
        <v>7</v>
      </c>
      <c r="E190" s="11" t="s">
        <v>32</v>
      </c>
      <c r="F190" s="11" t="s">
        <v>13</v>
      </c>
      <c r="G190" s="11" t="s">
        <v>132</v>
      </c>
    </row>
    <row r="191" spans="1:8" s="11" customFormat="1" x14ac:dyDescent="0.25">
      <c r="A191" s="11" t="s">
        <v>126</v>
      </c>
      <c r="B191" s="15">
        <v>1.3513513513513513</v>
      </c>
      <c r="C191" s="11" t="s">
        <v>7</v>
      </c>
      <c r="E191" s="11" t="s">
        <v>32</v>
      </c>
      <c r="F191" s="11" t="s">
        <v>14</v>
      </c>
      <c r="G191" s="11" t="s">
        <v>127</v>
      </c>
    </row>
    <row r="192" spans="1:8" s="11" customFormat="1" x14ac:dyDescent="0.25">
      <c r="A192" s="11" t="s">
        <v>18</v>
      </c>
      <c r="B192" s="15">
        <f>(4.4*0.1)/0.74</f>
        <v>0.59459459459459463</v>
      </c>
      <c r="C192" s="11" t="s">
        <v>19</v>
      </c>
      <c r="E192" s="11" t="s">
        <v>32</v>
      </c>
      <c r="F192" s="11" t="s">
        <v>14</v>
      </c>
      <c r="G192" s="11" t="s">
        <v>20</v>
      </c>
    </row>
    <row r="193" spans="1:8" s="11" customFormat="1" x14ac:dyDescent="0.25">
      <c r="A193" s="11" t="s">
        <v>125</v>
      </c>
      <c r="B193" s="15">
        <f>(4.4*0.9*3.6)/0.74</f>
        <v>19.264864864864869</v>
      </c>
      <c r="C193" s="11" t="s">
        <v>24</v>
      </c>
      <c r="E193" s="11" t="s">
        <v>16</v>
      </c>
      <c r="F193" s="11" t="s">
        <v>14</v>
      </c>
      <c r="G193" s="11" t="s">
        <v>25</v>
      </c>
    </row>
    <row r="194" spans="1:8" s="11" customFormat="1" x14ac:dyDescent="0.25">
      <c r="A194" s="11" t="s">
        <v>27</v>
      </c>
      <c r="B194" s="15">
        <v>1.7567567567567569E-2</v>
      </c>
      <c r="C194" s="11" t="s">
        <v>7</v>
      </c>
      <c r="D194" s="11" t="s">
        <v>28</v>
      </c>
      <c r="F194" s="11" t="s">
        <v>29</v>
      </c>
    </row>
    <row r="195" spans="1:8" s="11" customFormat="1" x14ac:dyDescent="0.25">
      <c r="A195" s="11" t="s">
        <v>120</v>
      </c>
      <c r="B195" s="15">
        <v>1.891891891891892E-2</v>
      </c>
      <c r="C195" s="11" t="s">
        <v>7</v>
      </c>
      <c r="D195" s="11" t="s">
        <v>28</v>
      </c>
      <c r="F195" s="11" t="s">
        <v>29</v>
      </c>
    </row>
    <row r="196" spans="1:8" s="11" customFormat="1" x14ac:dyDescent="0.25">
      <c r="A196" s="11" t="s">
        <v>121</v>
      </c>
      <c r="B196" s="15">
        <v>0.20945945945945946</v>
      </c>
      <c r="C196" s="11" t="s">
        <v>7</v>
      </c>
      <c r="D196" s="11" t="s">
        <v>28</v>
      </c>
      <c r="F196" s="11" t="s">
        <v>29</v>
      </c>
    </row>
    <row r="197" spans="1:8" s="11" customFormat="1" x14ac:dyDescent="0.25"/>
    <row r="198" spans="1:8" s="11" customFormat="1" ht="15.75" x14ac:dyDescent="0.25">
      <c r="A198" s="10" t="s">
        <v>0</v>
      </c>
      <c r="B198" s="10" t="s">
        <v>133</v>
      </c>
    </row>
    <row r="199" spans="1:8" s="11" customFormat="1" x14ac:dyDescent="0.25">
      <c r="A199" s="11" t="s">
        <v>1</v>
      </c>
      <c r="B199" s="11" t="s">
        <v>134</v>
      </c>
    </row>
    <row r="200" spans="1:8" s="11" customFormat="1" x14ac:dyDescent="0.25">
      <c r="A200" s="11" t="s">
        <v>2</v>
      </c>
      <c r="B200" s="11" t="s">
        <v>32</v>
      </c>
    </row>
    <row r="201" spans="1:8" s="11" customFormat="1" x14ac:dyDescent="0.25">
      <c r="A201" s="11" t="s">
        <v>4</v>
      </c>
      <c r="B201" s="11">
        <v>1</v>
      </c>
    </row>
    <row r="202" spans="1:8" s="11" customFormat="1" x14ac:dyDescent="0.25">
      <c r="A202" s="11" t="s">
        <v>5</v>
      </c>
      <c r="B202" s="11" t="s">
        <v>135</v>
      </c>
    </row>
    <row r="203" spans="1:8" s="11" customFormat="1" x14ac:dyDescent="0.25">
      <c r="A203" s="11" t="s">
        <v>6</v>
      </c>
      <c r="B203" s="11" t="s">
        <v>7</v>
      </c>
    </row>
    <row r="204" spans="1:8" s="11" customFormat="1" x14ac:dyDescent="0.25">
      <c r="A204" s="11" t="s">
        <v>8</v>
      </c>
      <c r="B204" s="11" t="s">
        <v>114</v>
      </c>
    </row>
    <row r="205" spans="1:8" s="11" customFormat="1" x14ac:dyDescent="0.25">
      <c r="A205" s="12" t="s">
        <v>9</v>
      </c>
    </row>
    <row r="206" spans="1:8" s="12" customFormat="1" x14ac:dyDescent="0.25">
      <c r="A206" s="12" t="s">
        <v>10</v>
      </c>
      <c r="B206" s="12" t="s">
        <v>11</v>
      </c>
      <c r="C206" s="12" t="s">
        <v>6</v>
      </c>
      <c r="D206" s="12" t="s">
        <v>26</v>
      </c>
      <c r="E206" s="12" t="s">
        <v>2</v>
      </c>
      <c r="F206" s="12" t="s">
        <v>12</v>
      </c>
      <c r="G206" s="12" t="s">
        <v>5</v>
      </c>
      <c r="H206" s="12" t="s">
        <v>1</v>
      </c>
    </row>
    <row r="207" spans="1:8" s="11" customFormat="1" x14ac:dyDescent="0.25">
      <c r="A207" s="11" t="s">
        <v>133</v>
      </c>
      <c r="B207" s="11">
        <v>1</v>
      </c>
      <c r="C207" s="11" t="s">
        <v>7</v>
      </c>
      <c r="E207" s="11" t="s">
        <v>32</v>
      </c>
      <c r="F207" s="11" t="s">
        <v>13</v>
      </c>
      <c r="G207" s="11" t="s">
        <v>135</v>
      </c>
    </row>
    <row r="208" spans="1:8" s="11" customFormat="1" x14ac:dyDescent="0.25">
      <c r="A208" s="11" t="s">
        <v>130</v>
      </c>
      <c r="B208" s="13">
        <v>0.80321285140562249</v>
      </c>
      <c r="C208" s="11" t="s">
        <v>7</v>
      </c>
      <c r="E208" s="11" t="s">
        <v>32</v>
      </c>
      <c r="F208" s="11" t="s">
        <v>14</v>
      </c>
      <c r="G208" s="11" t="s">
        <v>132</v>
      </c>
    </row>
    <row r="209" spans="1:8" s="11" customFormat="1" x14ac:dyDescent="0.25">
      <c r="A209" s="11" t="s">
        <v>149</v>
      </c>
      <c r="B209" s="13">
        <v>0.20080321285140562</v>
      </c>
      <c r="C209" s="11" t="s">
        <v>7</v>
      </c>
      <c r="E209" s="11" t="s">
        <v>32</v>
      </c>
      <c r="F209" s="11" t="s">
        <v>14</v>
      </c>
      <c r="G209" s="11" t="s">
        <v>113</v>
      </c>
    </row>
    <row r="210" spans="1:8" s="11" customFormat="1" x14ac:dyDescent="0.25">
      <c r="A210" s="11" t="s">
        <v>125</v>
      </c>
      <c r="B210" s="13">
        <v>12.650602409638553</v>
      </c>
      <c r="C210" s="11" t="s">
        <v>24</v>
      </c>
      <c r="E210" s="11" t="s">
        <v>16</v>
      </c>
      <c r="F210" s="11" t="s">
        <v>14</v>
      </c>
      <c r="G210" s="11" t="s">
        <v>25</v>
      </c>
    </row>
    <row r="211" spans="1:8" s="11" customFormat="1" x14ac:dyDescent="0.25">
      <c r="A211" s="11" t="s">
        <v>120</v>
      </c>
      <c r="B211" s="13">
        <v>2.6807228915662652E-3</v>
      </c>
      <c r="C211" s="11" t="s">
        <v>7</v>
      </c>
      <c r="D211" s="11" t="s">
        <v>28</v>
      </c>
      <c r="F211" s="11" t="s">
        <v>29</v>
      </c>
    </row>
    <row r="212" spans="1:8" s="11" customFormat="1" x14ac:dyDescent="0.25">
      <c r="A212" s="11" t="s">
        <v>121</v>
      </c>
      <c r="B212" s="14">
        <v>7.9819277108433736E-5</v>
      </c>
      <c r="C212" s="11" t="s">
        <v>7</v>
      </c>
      <c r="D212" s="11" t="s">
        <v>28</v>
      </c>
      <c r="F212" s="11" t="s">
        <v>29</v>
      </c>
    </row>
    <row r="213" spans="1:8" s="11" customFormat="1" x14ac:dyDescent="0.25">
      <c r="A213" s="11" t="s">
        <v>106</v>
      </c>
      <c r="B213" s="14">
        <v>2.4698795180722895E-4</v>
      </c>
      <c r="C213" s="11" t="s">
        <v>7</v>
      </c>
      <c r="D213" s="11" t="s">
        <v>28</v>
      </c>
      <c r="F213" s="11" t="s">
        <v>29</v>
      </c>
    </row>
    <row r="214" spans="1:8" s="11" customFormat="1" x14ac:dyDescent="0.25"/>
    <row r="215" spans="1:8" s="11" customFormat="1" ht="15.75" x14ac:dyDescent="0.25">
      <c r="A215" s="10" t="s">
        <v>0</v>
      </c>
      <c r="B215" s="10" t="s">
        <v>136</v>
      </c>
    </row>
    <row r="216" spans="1:8" s="11" customFormat="1" x14ac:dyDescent="0.25">
      <c r="A216" s="11" t="s">
        <v>1</v>
      </c>
      <c r="B216" s="11" t="s">
        <v>137</v>
      </c>
    </row>
    <row r="217" spans="1:8" s="11" customFormat="1" x14ac:dyDescent="0.25">
      <c r="A217" s="11" t="s">
        <v>2</v>
      </c>
      <c r="B217" s="11" t="s">
        <v>32</v>
      </c>
    </row>
    <row r="218" spans="1:8" s="11" customFormat="1" x14ac:dyDescent="0.25">
      <c r="A218" s="11" t="s">
        <v>4</v>
      </c>
      <c r="B218" s="11">
        <v>1</v>
      </c>
    </row>
    <row r="219" spans="1:8" s="11" customFormat="1" x14ac:dyDescent="0.25">
      <c r="A219" s="11" t="s">
        <v>5</v>
      </c>
      <c r="B219" s="11" t="s">
        <v>138</v>
      </c>
    </row>
    <row r="220" spans="1:8" s="11" customFormat="1" x14ac:dyDescent="0.25">
      <c r="A220" s="11" t="s">
        <v>6</v>
      </c>
      <c r="B220" s="11" t="s">
        <v>7</v>
      </c>
    </row>
    <row r="221" spans="1:8" s="11" customFormat="1" x14ac:dyDescent="0.25">
      <c r="A221" s="11" t="s">
        <v>8</v>
      </c>
      <c r="B221" s="11" t="s">
        <v>114</v>
      </c>
    </row>
    <row r="222" spans="1:8" s="11" customFormat="1" x14ac:dyDescent="0.25">
      <c r="A222" s="12" t="s">
        <v>9</v>
      </c>
    </row>
    <row r="223" spans="1:8" s="12" customFormat="1" x14ac:dyDescent="0.25">
      <c r="A223" s="12" t="s">
        <v>10</v>
      </c>
      <c r="B223" s="12" t="s">
        <v>11</v>
      </c>
      <c r="C223" s="12" t="s">
        <v>6</v>
      </c>
      <c r="D223" s="12" t="s">
        <v>26</v>
      </c>
      <c r="E223" s="12" t="s">
        <v>2</v>
      </c>
      <c r="F223" s="12" t="s">
        <v>12</v>
      </c>
      <c r="G223" s="12" t="s">
        <v>5</v>
      </c>
      <c r="H223" s="12" t="s">
        <v>1</v>
      </c>
    </row>
    <row r="224" spans="1:8" s="11" customFormat="1" x14ac:dyDescent="0.25">
      <c r="A224" s="11" t="s">
        <v>136</v>
      </c>
      <c r="B224" s="11">
        <v>1</v>
      </c>
      <c r="C224" s="11" t="s">
        <v>7</v>
      </c>
      <c r="E224" s="11" t="s">
        <v>32</v>
      </c>
      <c r="F224" s="11" t="s">
        <v>13</v>
      </c>
      <c r="G224" s="11" t="s">
        <v>138</v>
      </c>
    </row>
    <row r="225" spans="1:7" s="11" customFormat="1" x14ac:dyDescent="0.25">
      <c r="A225" s="11" t="s">
        <v>133</v>
      </c>
      <c r="B225" s="15">
        <v>1.0204081632653061</v>
      </c>
      <c r="C225" s="11" t="s">
        <v>7</v>
      </c>
      <c r="E225" s="11" t="s">
        <v>32</v>
      </c>
      <c r="F225" s="11" t="s">
        <v>14</v>
      </c>
      <c r="G225" s="11" t="s">
        <v>135</v>
      </c>
    </row>
    <row r="226" spans="1:7" s="11" customFormat="1" x14ac:dyDescent="0.25">
      <c r="A226" s="11" t="s">
        <v>125</v>
      </c>
      <c r="B226" s="15">
        <f>(0.88*3.6)/0.98</f>
        <v>3.2326530612244899</v>
      </c>
      <c r="C226" s="11" t="s">
        <v>24</v>
      </c>
      <c r="E226" s="11" t="s">
        <v>16</v>
      </c>
      <c r="F226" s="11" t="s">
        <v>14</v>
      </c>
      <c r="G226" s="11" t="s">
        <v>25</v>
      </c>
    </row>
    <row r="227" spans="1:7" s="11" customFormat="1" x14ac:dyDescent="0.25">
      <c r="A227" s="11" t="s">
        <v>120</v>
      </c>
      <c r="B227" s="15">
        <v>1.9693877551020408E-2</v>
      </c>
      <c r="C227" s="11" t="s">
        <v>7</v>
      </c>
      <c r="D227" s="11" t="s">
        <v>28</v>
      </c>
      <c r="F227" s="11" t="s">
        <v>29</v>
      </c>
    </row>
  </sheetData>
  <autoFilter ref="A1:H12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2023-08-24T17:12:14Z</dcterms:modified>
</cp:coreProperties>
</file>