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 Axel\Desktop\PCM-Proyecto\Costos\"/>
    </mc:Choice>
  </mc:AlternateContent>
  <xr:revisionPtr revIDLastSave="0" documentId="13_ncr:1_{BEE555BE-AA93-4497-8B19-99B6D60B12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STO" sheetId="1" r:id="rId1"/>
    <sheet name="MANO OBRA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N18" i="2"/>
  <c r="N17" i="2"/>
  <c r="J8" i="2"/>
  <c r="J10" i="2"/>
  <c r="J12" i="2"/>
  <c r="J14" i="2"/>
  <c r="J16" i="2"/>
  <c r="J6" i="2"/>
  <c r="M5" i="2"/>
  <c r="K5" i="2" s="1"/>
  <c r="E5" i="2"/>
  <c r="F5" i="2" s="1"/>
  <c r="M15" i="2"/>
  <c r="M13" i="2"/>
  <c r="M11" i="2"/>
  <c r="N11" i="2" s="1"/>
  <c r="M9" i="2"/>
  <c r="M7" i="2"/>
  <c r="L7" i="2" s="1"/>
  <c r="E7" i="2"/>
  <c r="F7" i="2" s="1"/>
  <c r="D11" i="2"/>
  <c r="E11" i="2" s="1"/>
  <c r="F11" i="2" s="1"/>
  <c r="D15" i="2"/>
  <c r="D9" i="2"/>
  <c r="E9" i="2" s="1"/>
  <c r="D10" i="2" s="1"/>
  <c r="D17" i="2"/>
  <c r="E17" i="2" s="1"/>
  <c r="F17" i="2" s="1"/>
  <c r="D14" i="1"/>
  <c r="D5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N7" i="2" l="1"/>
  <c r="N15" i="2"/>
  <c r="N13" i="2"/>
  <c r="D17" i="1"/>
  <c r="N9" i="2"/>
  <c r="D6" i="2"/>
  <c r="L15" i="2"/>
  <c r="L13" i="2"/>
  <c r="D12" i="2"/>
  <c r="L11" i="2"/>
  <c r="L9" i="2"/>
  <c r="F9" i="2"/>
  <c r="D8" i="2"/>
  <c r="D18" i="2"/>
  <c r="E15" i="2"/>
  <c r="D13" i="2" l="1"/>
  <c r="D16" i="2"/>
  <c r="F15" i="2"/>
  <c r="F19" i="2" s="1"/>
  <c r="D14" i="2"/>
  <c r="D19" i="2" l="1"/>
  <c r="L5" i="2" l="1"/>
  <c r="J19" i="2" l="1"/>
  <c r="N19" i="2"/>
</calcChain>
</file>

<file path=xl/sharedStrings.xml><?xml version="1.0" encoding="utf-8"?>
<sst xmlns="http://schemas.openxmlformats.org/spreadsheetml/2006/main" count="64" uniqueCount="49">
  <si>
    <t>Display LCD Arduino 16x2 con I2c incorporado</t>
  </si>
  <si>
    <t>Modulo lector de memora Micro SD ARV Aa115</t>
  </si>
  <si>
    <t>Resistencia 10 OHM x 3</t>
  </si>
  <si>
    <t>Interruptor 2 posiciones</t>
  </si>
  <si>
    <t>Arduino Nano v3.0 Atmega 328p + cable USB</t>
  </si>
  <si>
    <t>Cables Dupont macho-hembra x 40 x 20 cm</t>
  </si>
  <si>
    <t>Cables Dupont macho-macho x 40 x 20 cm</t>
  </si>
  <si>
    <t>Pack X10 Pulsador Tact Switch 6x6 4pin Arduino Robotica Ubot</t>
  </si>
  <si>
    <t>Conector USB hembra tipo A</t>
  </si>
  <si>
    <t>Protoboard Breadboard 830 Puntos Experimentador Arduino</t>
  </si>
  <si>
    <t>PCB Simple Faz 5x10 Cm Protoboard</t>
  </si>
  <si>
    <t>Cable wire 2724 x 1 mt</t>
  </si>
  <si>
    <t>Resina p/soldar</t>
  </si>
  <si>
    <t>Alambre estañado p/soldar</t>
  </si>
  <si>
    <t>ESTUDIO DE COSTOS</t>
  </si>
  <si>
    <t>COSTO TOTAL</t>
  </si>
  <si>
    <t>CONVENIO METAURGICO</t>
  </si>
  <si>
    <t>2 JORNADA</t>
  </si>
  <si>
    <t>10 JORNADAS</t>
  </si>
  <si>
    <t>TOTAL MANO DE OBRA</t>
  </si>
  <si>
    <t>ACTUALIZACION DEL DOCUMENTO</t>
  </si>
  <si>
    <t>INVESTIGACION Y CAPACITACION</t>
  </si>
  <si>
    <t>REUNION DE EQUIPO</t>
  </si>
  <si>
    <t>DISEÑO DEL CIRCUITO Y MODELADO 3D</t>
  </si>
  <si>
    <t>COMPRA DE MATERIALES</t>
  </si>
  <si>
    <t>MAQUETA (ENSAMBLE)</t>
  </si>
  <si>
    <t>8 JORNADAS</t>
  </si>
  <si>
    <t>3 JORNADAS</t>
  </si>
  <si>
    <t>2 JORNADAS</t>
  </si>
  <si>
    <t>CALCULO DE JULIO DE 2022</t>
  </si>
  <si>
    <t>CALCULO DE FEBRERO DE 2023 (SEGÚN CONVENIOS REALES)</t>
  </si>
  <si>
    <t xml:space="preserve"> (INFOBAE)</t>
  </si>
  <si>
    <t>SALARIO PROMEDIO PROGRAMACION</t>
  </si>
  <si>
    <t>REUNION DE 2 HORAS</t>
  </si>
  <si>
    <t>Mes (20 dias)</t>
  </si>
  <si>
    <t>Semana (44 hs)</t>
  </si>
  <si>
    <t>1 Hora</t>
  </si>
  <si>
    <t>ADM. TECNICO 4ta CATEGORIA (UOM)</t>
  </si>
  <si>
    <t>PROGRAMACION - SOFTWARE</t>
  </si>
  <si>
    <t>OFICIAL MUTIPLE (UOM)</t>
  </si>
  <si>
    <t>ADM. TECNICO 6ta CATEGORIA (UOM)</t>
  </si>
  <si>
    <t>ADM. TECNICO 2ta CATEGORIA (UOM)</t>
  </si>
  <si>
    <t>CALCULO DE HORAS HOMBRE Y COSTOS EN SALARIOS</t>
  </si>
  <si>
    <t>ADMINISTRATIVO CAT 3ra (UOM)</t>
  </si>
  <si>
    <t>SALARIO PROMEDIO (GLASSDOOR ARG)</t>
  </si>
  <si>
    <t>Dia (8 hs)</t>
  </si>
  <si>
    <t>HORAS</t>
  </si>
  <si>
    <t>PROMEDIO</t>
  </si>
  <si>
    <t>CANT. PESONAS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</si>
</sst>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1" applyFont="1" applyBorder="1"/>
    <xf numFmtId="164" fontId="0" fillId="0" borderId="9" xfId="1" applyFont="1" applyBorder="1"/>
    <xf numFmtId="164" fontId="0" fillId="0" borderId="1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0" xfId="1" applyFont="1"/>
    <xf numFmtId="0" fontId="0" fillId="3" borderId="20" xfId="0" applyFill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66" fontId="0" fillId="3" borderId="17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vertical="center"/>
    </xf>
    <xf numFmtId="164" fontId="3" fillId="3" borderId="18" xfId="1" applyFont="1" applyFill="1" applyBorder="1" applyAlignment="1">
      <alignment vertical="center"/>
    </xf>
    <xf numFmtId="164" fontId="0" fillId="3" borderId="16" xfId="0" applyNumberFormat="1" applyFill="1" applyBorder="1" applyAlignment="1">
      <alignment vertical="center"/>
    </xf>
    <xf numFmtId="164" fontId="0" fillId="3" borderId="18" xfId="0" applyNumberForma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64" fontId="0" fillId="3" borderId="21" xfId="0" applyNumberForma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164" fontId="0" fillId="3" borderId="23" xfId="0" applyNumberFormat="1" applyFill="1" applyBorder="1" applyAlignment="1">
      <alignment vertical="center"/>
    </xf>
    <xf numFmtId="164" fontId="0" fillId="3" borderId="28" xfId="0" applyNumberFormat="1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164" fontId="3" fillId="3" borderId="23" xfId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164" fontId="0" fillId="3" borderId="29" xfId="0" applyNumberFormat="1" applyFill="1" applyBorder="1" applyAlignment="1">
      <alignment vertical="center"/>
    </xf>
    <xf numFmtId="164" fontId="0" fillId="3" borderId="25" xfId="0" applyNumberFormat="1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164" fontId="0" fillId="3" borderId="24" xfId="1" applyFont="1" applyFill="1" applyBorder="1" applyAlignment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44" fontId="0" fillId="0" borderId="0" xfId="0" applyNumberFormat="1"/>
    <xf numFmtId="166" fontId="0" fillId="3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4" fontId="2" fillId="4" borderId="22" xfId="1" applyNumberFormat="1" applyFont="1" applyFill="1" applyBorder="1" applyAlignment="1">
      <alignment vertical="center"/>
    </xf>
    <xf numFmtId="164" fontId="0" fillId="4" borderId="0" xfId="1" applyNumberFormat="1" applyFont="1" applyFill="1" applyBorder="1" applyAlignment="1">
      <alignment vertical="center"/>
    </xf>
    <xf numFmtId="164" fontId="4" fillId="3" borderId="23" xfId="1" applyNumberFormat="1" applyFont="1" applyFill="1" applyBorder="1" applyAlignment="1">
      <alignment vertical="center"/>
    </xf>
    <xf numFmtId="164" fontId="2" fillId="3" borderId="21" xfId="0" applyNumberFormat="1" applyFont="1" applyFill="1" applyBorder="1" applyAlignment="1">
      <alignment vertical="center"/>
    </xf>
    <xf numFmtId="164" fontId="5" fillId="3" borderId="22" xfId="1" applyNumberFormat="1" applyFont="1" applyFill="1" applyBorder="1" applyAlignment="1">
      <alignment vertical="center"/>
    </xf>
    <xf numFmtId="164" fontId="0" fillId="4" borderId="23" xfId="1" applyNumberFormat="1" applyFont="1" applyFill="1" applyBorder="1" applyAlignment="1">
      <alignment vertical="center"/>
    </xf>
    <xf numFmtId="164" fontId="0" fillId="4" borderId="29" xfId="1" applyNumberFormat="1" applyFont="1" applyFill="1" applyBorder="1" applyAlignment="1">
      <alignment vertical="center"/>
    </xf>
    <xf numFmtId="164" fontId="3" fillId="3" borderId="18" xfId="0" applyNumberFormat="1" applyFont="1" applyFill="1" applyBorder="1" applyAlignment="1">
      <alignment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4" fontId="2" fillId="5" borderId="24" xfId="1" applyFont="1" applyFill="1" applyBorder="1" applyAlignment="1">
      <alignment vertical="center"/>
    </xf>
    <xf numFmtId="164" fontId="2" fillId="5" borderId="19" xfId="1" applyNumberFormat="1" applyFont="1" applyFill="1" applyBorder="1" applyAlignment="1">
      <alignment vertical="center"/>
    </xf>
    <xf numFmtId="164" fontId="2" fillId="5" borderId="20" xfId="1" applyNumberFormat="1" applyFont="1" applyFill="1" applyBorder="1" applyAlignment="1">
      <alignment vertical="center"/>
    </xf>
    <xf numFmtId="164" fontId="2" fillId="5" borderId="21" xfId="1" applyNumberFormat="1" applyFont="1" applyFill="1" applyBorder="1" applyAlignment="1">
      <alignment vertical="center"/>
    </xf>
    <xf numFmtId="164" fontId="1" fillId="4" borderId="26" xfId="1" applyNumberFormat="1" applyFont="1" applyFill="1" applyBorder="1" applyAlignment="1">
      <alignment horizontal="left" vertical="center"/>
    </xf>
    <xf numFmtId="164" fontId="1" fillId="4" borderId="27" xfId="1" applyNumberFormat="1" applyFont="1" applyFill="1" applyBorder="1" applyAlignment="1">
      <alignment horizontal="left" vertical="center"/>
    </xf>
    <xf numFmtId="164" fontId="1" fillId="4" borderId="29" xfId="1" applyNumberFormat="1" applyFont="1" applyFill="1" applyBorder="1" applyAlignment="1">
      <alignment horizontal="left" vertical="center"/>
    </xf>
    <xf numFmtId="164" fontId="1" fillId="4" borderId="25" xfId="1" applyNumberFormat="1" applyFont="1" applyFill="1" applyBorder="1" applyAlignment="1">
      <alignment horizontal="left" vertical="center"/>
    </xf>
    <xf numFmtId="164" fontId="1" fillId="4" borderId="31" xfId="1" applyNumberFormat="1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workbookViewId="0">
      <selection activeCell="G8" sqref="G8"/>
    </sheetView>
  </sheetViews>
  <sheetFormatPr baseColWidth="10" defaultRowHeight="15" x14ac:dyDescent="0.25"/>
  <cols>
    <col min="2" max="2" width="5" customWidth="1"/>
    <col min="3" max="3" width="38.85546875" bestFit="1" customWidth="1"/>
  </cols>
  <sheetData>
    <row r="1" spans="2:4" ht="15.75" thickBot="1" x14ac:dyDescent="0.3"/>
    <row r="2" spans="2:4" ht="15.75" thickBot="1" x14ac:dyDescent="0.3">
      <c r="B2" s="42" t="s">
        <v>14</v>
      </c>
      <c r="C2" s="43"/>
      <c r="D2" s="44"/>
    </row>
    <row r="3" spans="2:4" x14ac:dyDescent="0.25">
      <c r="B3" s="2">
        <v>1</v>
      </c>
      <c r="C3" s="7" t="s">
        <v>0</v>
      </c>
      <c r="D3" s="4">
        <v>790</v>
      </c>
    </row>
    <row r="4" spans="2:4" x14ac:dyDescent="0.25">
      <c r="B4" s="1">
        <f>B3+1</f>
        <v>2</v>
      </c>
      <c r="C4" s="8" t="s">
        <v>1</v>
      </c>
      <c r="D4" s="5">
        <v>360</v>
      </c>
    </row>
    <row r="5" spans="2:4" x14ac:dyDescent="0.25">
      <c r="B5" s="1">
        <f t="shared" ref="B5:B16" si="0">B4+1</f>
        <v>3</v>
      </c>
      <c r="C5" s="8" t="s">
        <v>2</v>
      </c>
      <c r="D5" s="5">
        <f>ROUND(162/10*3,0)</f>
        <v>49</v>
      </c>
    </row>
    <row r="6" spans="2:4" x14ac:dyDescent="0.25">
      <c r="B6" s="1">
        <f t="shared" si="0"/>
        <v>4</v>
      </c>
      <c r="C6" s="8" t="s">
        <v>3</v>
      </c>
      <c r="D6" s="5">
        <v>150</v>
      </c>
    </row>
    <row r="7" spans="2:4" x14ac:dyDescent="0.25">
      <c r="B7" s="1">
        <f t="shared" si="0"/>
        <v>5</v>
      </c>
      <c r="C7" s="8" t="s">
        <v>4</v>
      </c>
      <c r="D7" s="5">
        <v>2100</v>
      </c>
    </row>
    <row r="8" spans="2:4" x14ac:dyDescent="0.25">
      <c r="B8" s="1">
        <f t="shared" si="0"/>
        <v>6</v>
      </c>
      <c r="C8" s="8" t="s">
        <v>6</v>
      </c>
      <c r="D8" s="5">
        <v>549</v>
      </c>
    </row>
    <row r="9" spans="2:4" x14ac:dyDescent="0.25">
      <c r="B9" s="1">
        <f t="shared" si="0"/>
        <v>7</v>
      </c>
      <c r="C9" s="8" t="s">
        <v>5</v>
      </c>
      <c r="D9" s="5">
        <v>549</v>
      </c>
    </row>
    <row r="10" spans="2:4" x14ac:dyDescent="0.25">
      <c r="B10" s="1">
        <f t="shared" si="0"/>
        <v>8</v>
      </c>
      <c r="C10" s="8" t="s">
        <v>7</v>
      </c>
      <c r="D10" s="5">
        <v>264</v>
      </c>
    </row>
    <row r="11" spans="2:4" x14ac:dyDescent="0.25">
      <c r="B11" s="1">
        <f t="shared" si="0"/>
        <v>9</v>
      </c>
      <c r="C11" s="8" t="s">
        <v>8</v>
      </c>
      <c r="D11" s="5">
        <v>363</v>
      </c>
    </row>
    <row r="12" spans="2:4" x14ac:dyDescent="0.25">
      <c r="B12" s="1">
        <f t="shared" si="0"/>
        <v>10</v>
      </c>
      <c r="C12" s="8" t="s">
        <v>9</v>
      </c>
      <c r="D12" s="5">
        <v>808</v>
      </c>
    </row>
    <row r="13" spans="2:4" x14ac:dyDescent="0.25">
      <c r="B13" s="1">
        <f t="shared" si="0"/>
        <v>11</v>
      </c>
      <c r="C13" s="8" t="s">
        <v>10</v>
      </c>
      <c r="D13" s="5">
        <v>670</v>
      </c>
    </row>
    <row r="14" spans="2:4" x14ac:dyDescent="0.25">
      <c r="B14" s="1">
        <f t="shared" si="0"/>
        <v>12</v>
      </c>
      <c r="C14" s="8" t="s">
        <v>11</v>
      </c>
      <c r="D14" s="5">
        <f>ROUND(385/10,0)</f>
        <v>39</v>
      </c>
    </row>
    <row r="15" spans="2:4" x14ac:dyDescent="0.25">
      <c r="B15" s="1">
        <f t="shared" si="0"/>
        <v>13</v>
      </c>
      <c r="C15" s="8" t="s">
        <v>12</v>
      </c>
      <c r="D15" s="5">
        <v>469</v>
      </c>
    </row>
    <row r="16" spans="2:4" ht="15.75" thickBot="1" x14ac:dyDescent="0.3">
      <c r="B16" s="3">
        <f t="shared" si="0"/>
        <v>14</v>
      </c>
      <c r="C16" s="9" t="s">
        <v>13</v>
      </c>
      <c r="D16" s="6">
        <v>607</v>
      </c>
    </row>
    <row r="17" spans="2:4" ht="15.75" thickBot="1" x14ac:dyDescent="0.3">
      <c r="B17" s="45" t="s">
        <v>15</v>
      </c>
      <c r="C17" s="46"/>
      <c r="D17" s="10">
        <f>SUM(D3:D16)</f>
        <v>7767</v>
      </c>
    </row>
  </sheetData>
  <mergeCells count="2">
    <mergeCell ref="B2:D2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"/>
  <sheetViews>
    <sheetView tabSelected="1" workbookViewId="0">
      <selection activeCell="O20" sqref="A1:O20"/>
    </sheetView>
  </sheetViews>
  <sheetFormatPr baseColWidth="10" defaultRowHeight="15" x14ac:dyDescent="0.25"/>
  <cols>
    <col min="1" max="1" width="1.7109375" customWidth="1"/>
    <col min="2" max="2" width="34.28515625" hidden="1" customWidth="1"/>
    <col min="3" max="3" width="12.28515625" hidden="1" customWidth="1"/>
    <col min="4" max="4" width="14.7109375" hidden="1" customWidth="1"/>
    <col min="5" max="6" width="11.5703125" hidden="1" customWidth="1"/>
    <col min="7" max="7" width="1.7109375" hidden="1" customWidth="1"/>
    <col min="8" max="8" width="37.42578125" bestFit="1" customWidth="1"/>
    <col min="10" max="10" width="14.7109375" customWidth="1"/>
    <col min="11" max="11" width="14" bestFit="1" customWidth="1"/>
    <col min="12" max="12" width="13.85546875" bestFit="1" customWidth="1"/>
    <col min="13" max="13" width="11.85546875" bestFit="1" customWidth="1"/>
    <col min="14" max="14" width="10.28515625" bestFit="1" customWidth="1"/>
    <col min="15" max="15" width="1.7109375" customWidth="1"/>
    <col min="16" max="16" width="17.7109375" bestFit="1" customWidth="1"/>
    <col min="17" max="17" width="9.85546875" bestFit="1" customWidth="1"/>
    <col min="18" max="18" width="2" bestFit="1" customWidth="1"/>
    <col min="19" max="19" width="7.85546875" bestFit="1" customWidth="1"/>
    <col min="20" max="20" width="10.28515625" bestFit="1" customWidth="1"/>
  </cols>
  <sheetData>
    <row r="1" spans="1:20" ht="15.75" thickBot="1" x14ac:dyDescent="0.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20" ht="24" thickBot="1" x14ac:dyDescent="0.3">
      <c r="A2" s="52"/>
      <c r="B2" s="47" t="s">
        <v>29</v>
      </c>
      <c r="C2" s="48"/>
      <c r="D2" s="48"/>
      <c r="E2" s="48"/>
      <c r="F2" s="49"/>
      <c r="G2" s="53"/>
      <c r="H2" s="47" t="s">
        <v>30</v>
      </c>
      <c r="I2" s="48"/>
      <c r="J2" s="48"/>
      <c r="K2" s="48"/>
      <c r="L2" s="48"/>
      <c r="M2" s="48"/>
      <c r="N2" s="49"/>
      <c r="O2" s="52"/>
    </row>
    <row r="3" spans="1:20" ht="15.75" thickBo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20" ht="15.75" thickBot="1" x14ac:dyDescent="0.3">
      <c r="A4" s="52"/>
      <c r="B4" s="52"/>
      <c r="C4" s="52"/>
      <c r="D4" s="52"/>
      <c r="E4" s="52"/>
      <c r="F4" s="52"/>
      <c r="G4" s="52"/>
      <c r="H4" s="54" t="s">
        <v>42</v>
      </c>
      <c r="I4" s="55"/>
      <c r="J4" s="56"/>
      <c r="K4" s="41" t="s">
        <v>34</v>
      </c>
      <c r="L4" s="39" t="s">
        <v>35</v>
      </c>
      <c r="M4" s="39" t="s">
        <v>45</v>
      </c>
      <c r="N4" s="40" t="s">
        <v>36</v>
      </c>
      <c r="O4" s="52"/>
    </row>
    <row r="5" spans="1:20" x14ac:dyDescent="0.25">
      <c r="A5" s="52"/>
      <c r="B5" s="33" t="s">
        <v>16</v>
      </c>
      <c r="C5" s="15">
        <v>44743</v>
      </c>
      <c r="D5" s="17">
        <v>87897</v>
      </c>
      <c r="E5" s="18">
        <f>D5/20/8</f>
        <v>549.35625000000005</v>
      </c>
      <c r="F5" s="19">
        <f>E5/8</f>
        <v>68.669531250000006</v>
      </c>
      <c r="G5" s="52"/>
      <c r="H5" s="22"/>
      <c r="I5" s="38" t="s">
        <v>46</v>
      </c>
      <c r="J5" s="26"/>
      <c r="K5" s="57">
        <f>M5*20</f>
        <v>131139.20000000001</v>
      </c>
      <c r="L5" s="58">
        <f>N5*44</f>
        <v>36063.279999999999</v>
      </c>
      <c r="M5" s="58">
        <f>N5*8</f>
        <v>6556.96</v>
      </c>
      <c r="N5" s="59">
        <v>819.62</v>
      </c>
      <c r="O5" s="52"/>
      <c r="Q5" s="11"/>
    </row>
    <row r="6" spans="1:20" ht="15.75" thickBot="1" x14ac:dyDescent="0.3">
      <c r="A6" s="52"/>
      <c r="B6" s="34" t="s">
        <v>25</v>
      </c>
      <c r="C6" s="12" t="s">
        <v>28</v>
      </c>
      <c r="D6" s="21">
        <f>E5*2</f>
        <v>1098.7125000000001</v>
      </c>
      <c r="E6" s="28"/>
      <c r="F6" s="29"/>
      <c r="G6" s="52"/>
      <c r="H6" s="20" t="s">
        <v>25</v>
      </c>
      <c r="I6" s="12">
        <v>16</v>
      </c>
      <c r="J6" s="60">
        <f>N5*I6</f>
        <v>13113.92</v>
      </c>
      <c r="K6" s="71" t="s">
        <v>39</v>
      </c>
      <c r="L6" s="72"/>
      <c r="M6" s="72"/>
      <c r="N6" s="73"/>
      <c r="O6" s="52"/>
      <c r="Q6" s="11"/>
      <c r="T6" s="11"/>
    </row>
    <row r="7" spans="1:20" x14ac:dyDescent="0.25">
      <c r="A7" s="52"/>
      <c r="B7" s="35" t="s">
        <v>32</v>
      </c>
      <c r="C7" s="25" t="s">
        <v>31</v>
      </c>
      <c r="D7" s="26">
        <v>174978</v>
      </c>
      <c r="E7" s="27">
        <f>D7/20/8</f>
        <v>1093.6125</v>
      </c>
      <c r="F7" s="23">
        <f t="shared" ref="F7:F17" si="0">E7/8</f>
        <v>136.70156249999999</v>
      </c>
      <c r="G7" s="52"/>
      <c r="H7" s="22"/>
      <c r="I7" s="25" t="s">
        <v>46</v>
      </c>
      <c r="J7" s="26"/>
      <c r="K7" s="61">
        <v>156000</v>
      </c>
      <c r="L7" s="58">
        <f>M7*8</f>
        <v>62400</v>
      </c>
      <c r="M7" s="58">
        <f>K7/20</f>
        <v>7800</v>
      </c>
      <c r="N7" s="62">
        <f>M7/8</f>
        <v>975</v>
      </c>
      <c r="O7" s="52"/>
      <c r="Q7" s="13"/>
      <c r="S7" s="13"/>
      <c r="T7" s="14"/>
    </row>
    <row r="8" spans="1:20" ht="15.75" thickBot="1" x14ac:dyDescent="0.3">
      <c r="A8" s="52"/>
      <c r="B8" s="20"/>
      <c r="C8" s="12" t="s">
        <v>18</v>
      </c>
      <c r="D8" s="21">
        <f>E7*10</f>
        <v>10936.125</v>
      </c>
      <c r="E8" s="28"/>
      <c r="F8" s="29"/>
      <c r="G8" s="52"/>
      <c r="H8" s="20" t="s">
        <v>38</v>
      </c>
      <c r="I8" s="12">
        <v>80</v>
      </c>
      <c r="J8" s="60">
        <f t="shared" ref="J7:J16" si="1">N7*I8</f>
        <v>78000</v>
      </c>
      <c r="K8" s="71" t="s">
        <v>44</v>
      </c>
      <c r="L8" s="72"/>
      <c r="M8" s="72"/>
      <c r="N8" s="73"/>
      <c r="O8" s="52"/>
    </row>
    <row r="9" spans="1:20" x14ac:dyDescent="0.25">
      <c r="A9" s="52"/>
      <c r="B9" s="33" t="s">
        <v>20</v>
      </c>
      <c r="C9" s="36"/>
      <c r="D9" s="19">
        <f>$D$5*1.2</f>
        <v>105476.4</v>
      </c>
      <c r="E9" s="27">
        <f>D9/20/8</f>
        <v>659.22749999999996</v>
      </c>
      <c r="F9" s="23">
        <f t="shared" si="0"/>
        <v>82.403437499999995</v>
      </c>
      <c r="G9" s="52"/>
      <c r="H9" s="16"/>
      <c r="I9" s="36" t="s">
        <v>46</v>
      </c>
      <c r="J9" s="26"/>
      <c r="K9" s="61">
        <v>118179.05</v>
      </c>
      <c r="L9" s="58">
        <f>M9*8</f>
        <v>47271.62</v>
      </c>
      <c r="M9" s="58">
        <f>K9/20</f>
        <v>5908.9525000000003</v>
      </c>
      <c r="N9" s="62">
        <f>M9/8</f>
        <v>738.61906250000004</v>
      </c>
      <c r="O9" s="52"/>
    </row>
    <row r="10" spans="1:20" ht="15.75" thickBot="1" x14ac:dyDescent="0.3">
      <c r="A10" s="52"/>
      <c r="B10" s="34"/>
      <c r="C10" s="12" t="s">
        <v>26</v>
      </c>
      <c r="D10" s="21">
        <f>E9*8</f>
        <v>5273.82</v>
      </c>
      <c r="E10" s="22"/>
      <c r="F10" s="23"/>
      <c r="G10" s="52"/>
      <c r="H10" s="20" t="s">
        <v>20</v>
      </c>
      <c r="I10" s="12">
        <v>64</v>
      </c>
      <c r="J10" s="60">
        <f t="shared" si="1"/>
        <v>47271.62</v>
      </c>
      <c r="K10" s="71" t="s">
        <v>41</v>
      </c>
      <c r="L10" s="72"/>
      <c r="M10" s="72"/>
      <c r="N10" s="73"/>
      <c r="O10" s="52"/>
    </row>
    <row r="11" spans="1:20" x14ac:dyDescent="0.25">
      <c r="A11" s="52"/>
      <c r="B11" s="33" t="s">
        <v>21</v>
      </c>
      <c r="C11" s="36"/>
      <c r="D11" s="19">
        <f>D7*0.8</f>
        <v>139982.39999999999</v>
      </c>
      <c r="E11" s="30">
        <f>D11/20/8</f>
        <v>874.89</v>
      </c>
      <c r="F11" s="24">
        <f t="shared" si="0"/>
        <v>109.36125</v>
      </c>
      <c r="G11" s="52"/>
      <c r="H11" s="16"/>
      <c r="I11" s="36" t="s">
        <v>46</v>
      </c>
      <c r="J11" s="26"/>
      <c r="K11" s="61">
        <v>143247.06</v>
      </c>
      <c r="L11" s="58">
        <f>M11*8</f>
        <v>57298.824000000001</v>
      </c>
      <c r="M11" s="58">
        <f>K11/20</f>
        <v>7162.3530000000001</v>
      </c>
      <c r="N11" s="62">
        <f>M11/8</f>
        <v>895.29412500000001</v>
      </c>
      <c r="O11" s="52"/>
    </row>
    <row r="12" spans="1:20" ht="15.75" thickBot="1" x14ac:dyDescent="0.3">
      <c r="A12" s="52"/>
      <c r="B12" s="34"/>
      <c r="C12" s="12" t="s">
        <v>26</v>
      </c>
      <c r="D12" s="21">
        <f>E11*8</f>
        <v>6999.12</v>
      </c>
      <c r="E12" s="28"/>
      <c r="F12" s="29"/>
      <c r="G12" s="52"/>
      <c r="H12" s="20" t="s">
        <v>21</v>
      </c>
      <c r="I12" s="12">
        <v>64</v>
      </c>
      <c r="J12" s="60">
        <f t="shared" si="1"/>
        <v>57298.824000000001</v>
      </c>
      <c r="K12" s="71" t="s">
        <v>37</v>
      </c>
      <c r="L12" s="72"/>
      <c r="M12" s="72"/>
      <c r="N12" s="73"/>
      <c r="O12" s="52"/>
    </row>
    <row r="13" spans="1:20" x14ac:dyDescent="0.25">
      <c r="A13" s="52"/>
      <c r="B13" s="33" t="s">
        <v>22</v>
      </c>
      <c r="C13" s="36"/>
      <c r="D13" s="19">
        <f>E5+E7+E9+E11+E15+E17</f>
        <v>4984.8618749999996</v>
      </c>
      <c r="E13" s="22"/>
      <c r="F13" s="23"/>
      <c r="G13" s="52"/>
      <c r="H13" s="16"/>
      <c r="I13" s="36" t="s">
        <v>46</v>
      </c>
      <c r="J13" s="26"/>
      <c r="K13" s="61">
        <v>163664.03</v>
      </c>
      <c r="L13" s="58">
        <f>M13*8</f>
        <v>65465.612000000001</v>
      </c>
      <c r="M13" s="58">
        <f>K13/20</f>
        <v>8183.2015000000001</v>
      </c>
      <c r="N13" s="62">
        <f>M13/8</f>
        <v>1022.9001875</v>
      </c>
      <c r="O13" s="52"/>
    </row>
    <row r="14" spans="1:20" ht="15.75" thickBot="1" x14ac:dyDescent="0.3">
      <c r="A14" s="52"/>
      <c r="B14" s="34" t="s">
        <v>33</v>
      </c>
      <c r="C14" s="12" t="s">
        <v>26</v>
      </c>
      <c r="D14" s="21">
        <f>(SUM(E5:E17)/8)*2*8/3</f>
        <v>3323.2412499999996</v>
      </c>
      <c r="E14" s="22"/>
      <c r="F14" s="23"/>
      <c r="G14" s="52"/>
      <c r="H14" s="20" t="s">
        <v>23</v>
      </c>
      <c r="I14" s="12">
        <v>24</v>
      </c>
      <c r="J14" s="60">
        <f t="shared" si="1"/>
        <v>24549.604500000001</v>
      </c>
      <c r="K14" s="71" t="s">
        <v>40</v>
      </c>
      <c r="L14" s="72"/>
      <c r="M14" s="72"/>
      <c r="N14" s="73"/>
      <c r="O14" s="52"/>
    </row>
    <row r="15" spans="1:20" x14ac:dyDescent="0.25">
      <c r="A15" s="52"/>
      <c r="B15" s="16" t="s">
        <v>23</v>
      </c>
      <c r="C15" s="36"/>
      <c r="D15" s="19">
        <f>D7</f>
        <v>174978</v>
      </c>
      <c r="E15" s="30">
        <f>D15/20/8</f>
        <v>1093.6125</v>
      </c>
      <c r="F15" s="24">
        <f t="shared" si="0"/>
        <v>136.70156249999999</v>
      </c>
      <c r="G15" s="52"/>
      <c r="H15" s="16"/>
      <c r="I15" s="36" t="s">
        <v>46</v>
      </c>
      <c r="J15" s="26"/>
      <c r="K15" s="61">
        <v>136450.87</v>
      </c>
      <c r="L15" s="58">
        <f>M15*8</f>
        <v>54580.347999999998</v>
      </c>
      <c r="M15" s="58">
        <f>K15/20</f>
        <v>6822.5434999999998</v>
      </c>
      <c r="N15" s="62">
        <f>M15/8</f>
        <v>852.81793749999997</v>
      </c>
      <c r="O15" s="52"/>
    </row>
    <row r="16" spans="1:20" ht="15.75" thickBot="1" x14ac:dyDescent="0.3">
      <c r="A16" s="52"/>
      <c r="B16" s="20"/>
      <c r="C16" s="12" t="s">
        <v>27</v>
      </c>
      <c r="D16" s="21">
        <f>E15*3</f>
        <v>3280.8374999999996</v>
      </c>
      <c r="E16" s="28"/>
      <c r="F16" s="29"/>
      <c r="G16" s="52"/>
      <c r="H16" s="20" t="s">
        <v>24</v>
      </c>
      <c r="I16" s="12">
        <v>16</v>
      </c>
      <c r="J16" s="60">
        <f t="shared" si="1"/>
        <v>13645.087</v>
      </c>
      <c r="K16" s="71" t="s">
        <v>43</v>
      </c>
      <c r="L16" s="72"/>
      <c r="M16" s="72"/>
      <c r="N16" s="73"/>
      <c r="O16" s="52"/>
    </row>
    <row r="17" spans="1:15" x14ac:dyDescent="0.25">
      <c r="A17" s="52"/>
      <c r="B17" s="33" t="s">
        <v>24</v>
      </c>
      <c r="C17" s="36"/>
      <c r="D17" s="19">
        <f>$D$5*1.3</f>
        <v>114266.1</v>
      </c>
      <c r="E17" s="27">
        <f>D17/20/8</f>
        <v>714.16312500000004</v>
      </c>
      <c r="F17" s="23">
        <f t="shared" si="0"/>
        <v>89.270390625000005</v>
      </c>
      <c r="G17" s="52"/>
      <c r="H17" s="16"/>
      <c r="I17" s="36" t="s">
        <v>46</v>
      </c>
      <c r="J17" s="64"/>
      <c r="K17" s="74" t="s">
        <v>47</v>
      </c>
      <c r="L17" s="75"/>
      <c r="M17" s="75"/>
      <c r="N17" s="62">
        <f>N19/6</f>
        <v>884.04188541666656</v>
      </c>
      <c r="O17" s="52"/>
    </row>
    <row r="18" spans="1:15" ht="15.75" thickBot="1" x14ac:dyDescent="0.3">
      <c r="A18" s="52"/>
      <c r="B18" s="34"/>
      <c r="C18" s="12" t="s">
        <v>17</v>
      </c>
      <c r="D18" s="21">
        <f>E17*2</f>
        <v>1428.3262500000001</v>
      </c>
      <c r="E18" s="28"/>
      <c r="F18" s="31"/>
      <c r="G18" s="52"/>
      <c r="H18" s="20" t="s">
        <v>22</v>
      </c>
      <c r="I18" s="12">
        <v>16</v>
      </c>
      <c r="J18" s="60">
        <f>N18*I18</f>
        <v>28289.34033333333</v>
      </c>
      <c r="K18" s="71" t="s">
        <v>48</v>
      </c>
      <c r="L18" s="72"/>
      <c r="M18" s="12">
        <v>2</v>
      </c>
      <c r="N18" s="63">
        <f>N17*M18</f>
        <v>1768.0837708333331</v>
      </c>
      <c r="O18" s="52"/>
    </row>
    <row r="19" spans="1:15" ht="15.75" thickBot="1" x14ac:dyDescent="0.3">
      <c r="A19" s="52"/>
      <c r="B19" s="50" t="s">
        <v>19</v>
      </c>
      <c r="C19" s="51"/>
      <c r="D19" s="32">
        <f>D6+D8+D10+D12+D14+D16+D18</f>
        <v>32340.182499999995</v>
      </c>
      <c r="E19" s="20"/>
      <c r="F19" s="21">
        <f>SUM(F5:F18)</f>
        <v>623.10773437499995</v>
      </c>
      <c r="G19" s="52"/>
      <c r="H19" s="65" t="s">
        <v>19</v>
      </c>
      <c r="I19" s="66"/>
      <c r="J19" s="67">
        <f>J6+J8+J10+J12+J18+J14+J16</f>
        <v>262168.39583333331</v>
      </c>
      <c r="K19" s="68"/>
      <c r="L19" s="69"/>
      <c r="M19" s="69"/>
      <c r="N19" s="70">
        <f>SUM(N5:N16)</f>
        <v>5304.2513124999996</v>
      </c>
      <c r="O19" s="52"/>
    </row>
    <row r="20" spans="1:15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x14ac:dyDescent="0.25">
      <c r="J21" s="37"/>
    </row>
    <row r="22" spans="1:15" x14ac:dyDescent="0.25">
      <c r="J22" s="37"/>
    </row>
  </sheetData>
  <mergeCells count="13">
    <mergeCell ref="H19:I19"/>
    <mergeCell ref="H4:J4"/>
    <mergeCell ref="B2:F2"/>
    <mergeCell ref="H2:N2"/>
    <mergeCell ref="B19:C19"/>
    <mergeCell ref="K6:N6"/>
    <mergeCell ref="K8:N8"/>
    <mergeCell ref="K10:N10"/>
    <mergeCell ref="K12:N12"/>
    <mergeCell ref="K14:N14"/>
    <mergeCell ref="K16:N16"/>
    <mergeCell ref="K17:M17"/>
    <mergeCell ref="K18:L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</vt:lpstr>
      <vt:lpstr>MANO OBRA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Osvaldo</dc:creator>
  <cp:lastModifiedBy>Notebook Axel</cp:lastModifiedBy>
  <dcterms:created xsi:type="dcterms:W3CDTF">2022-07-07T13:11:08Z</dcterms:created>
  <dcterms:modified xsi:type="dcterms:W3CDTF">2023-02-19T03:24:11Z</dcterms:modified>
</cp:coreProperties>
</file>