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195" documentId="13_ncr:1_{E5929760-29B4-4FBD-B5DB-E23A2F078BDE}" xr6:coauthVersionLast="47" xr6:coauthVersionMax="47" xr10:uidLastSave="{86D2A3DB-FC9A-402D-A255-7BE0BB732305}"/>
  <bookViews>
    <workbookView xWindow="-110" yWindow="-110" windowWidth="19420" windowHeight="11500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Tracker!$B$8:$K$423</definedName>
    <definedName name="BOSDubai" comment="Ce sont les bateaux a dubai">Tracker!$C$9:$C$119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6" l="1"/>
  <c r="E12" i="6"/>
  <c r="O13" i="2"/>
  <c r="N13" i="2"/>
  <c r="A1" i="6"/>
  <c r="B1" i="6"/>
  <c r="C1" i="6"/>
  <c r="D1" i="6"/>
  <c r="A2" i="6"/>
  <c r="B2" i="6"/>
  <c r="C2" i="6"/>
  <c r="D2" i="6"/>
  <c r="A3" i="6"/>
  <c r="B3" i="6"/>
  <c r="C3" i="6"/>
  <c r="D3" i="6"/>
  <c r="A4" i="6"/>
  <c r="B4" i="6"/>
  <c r="C4" i="6"/>
  <c r="D4" i="6"/>
  <c r="A5" i="6"/>
  <c r="B5" i="6"/>
  <c r="C5" i="6"/>
  <c r="D5" i="6"/>
  <c r="A6" i="6"/>
  <c r="B6" i="6"/>
  <c r="C6" i="6"/>
  <c r="D6" i="6"/>
  <c r="A7" i="6"/>
  <c r="B7" i="6"/>
  <c r="C7" i="6"/>
  <c r="D7" i="6"/>
  <c r="A8" i="6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E1" i="6"/>
  <c r="E2" i="6"/>
  <c r="E3" i="6"/>
  <c r="E4" i="6"/>
  <c r="E5" i="6"/>
  <c r="E6" i="6"/>
  <c r="E7" i="6"/>
  <c r="E8" i="6"/>
  <c r="E9" i="6"/>
  <c r="E10" i="6"/>
  <c r="H1" i="4"/>
  <c r="I1" i="4"/>
  <c r="J1" i="4"/>
  <c r="K1" i="4"/>
  <c r="H2" i="4"/>
  <c r="I2" i="4"/>
  <c r="J2" i="4"/>
  <c r="K2" i="4"/>
  <c r="H3" i="4"/>
  <c r="I3" i="4"/>
  <c r="J3" i="4"/>
  <c r="K3" i="4"/>
  <c r="H4" i="4"/>
  <c r="I4" i="4"/>
  <c r="J4" i="4"/>
  <c r="K4" i="4"/>
  <c r="H5" i="4"/>
  <c r="I5" i="4"/>
  <c r="J5" i="4"/>
  <c r="K5" i="4"/>
  <c r="H6" i="4"/>
  <c r="I6" i="4"/>
  <c r="J6" i="4"/>
  <c r="K6" i="4"/>
  <c r="H7" i="4"/>
  <c r="I7" i="4"/>
  <c r="J7" i="4"/>
  <c r="K7" i="4"/>
  <c r="H8" i="4"/>
  <c r="I8" i="4"/>
  <c r="J8" i="4"/>
  <c r="K8" i="4"/>
  <c r="H9" i="4"/>
  <c r="I9" i="4"/>
  <c r="J9" i="4"/>
  <c r="K9" i="4"/>
  <c r="H10" i="4"/>
  <c r="I10" i="4"/>
  <c r="J10" i="4"/>
  <c r="K10" i="4"/>
  <c r="H11" i="4"/>
  <c r="I11" i="4"/>
  <c r="J11" i="4"/>
  <c r="K11" i="4"/>
  <c r="H12" i="4"/>
  <c r="I12" i="4"/>
  <c r="J12" i="4"/>
  <c r="K12" i="4"/>
  <c r="G1" i="4"/>
  <c r="G2" i="4"/>
  <c r="G3" i="4"/>
  <c r="G4" i="4"/>
  <c r="G5" i="4"/>
  <c r="G6" i="4"/>
  <c r="G7" i="4"/>
  <c r="G8" i="4"/>
  <c r="G9" i="4"/>
  <c r="G10" i="4"/>
  <c r="G11" i="4"/>
  <c r="G12" i="4"/>
  <c r="A1" i="4"/>
  <c r="B1" i="4"/>
  <c r="C1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C1" i="3"/>
  <c r="E17" i="2"/>
  <c r="B90" i="2"/>
  <c r="B91" i="2"/>
  <c r="F160" i="2"/>
  <c r="H160" i="2" s="1"/>
  <c r="I160" i="2" s="1"/>
  <c r="G160" i="2"/>
  <c r="F161" i="2"/>
  <c r="G161" i="2"/>
  <c r="H161" i="2"/>
  <c r="I161" i="2"/>
  <c r="C160" i="2"/>
  <c r="C161" i="2"/>
  <c r="B160" i="2"/>
  <c r="B161" i="2"/>
  <c r="I159" i="2"/>
  <c r="G159" i="2"/>
  <c r="F159" i="2"/>
  <c r="C159" i="2"/>
  <c r="B159" i="2"/>
  <c r="I158" i="2"/>
  <c r="G158" i="2"/>
  <c r="F158" i="2"/>
  <c r="C158" i="2"/>
  <c r="B158" i="2"/>
  <c r="I157" i="2"/>
  <c r="G157" i="2"/>
  <c r="F157" i="2"/>
  <c r="C157" i="2"/>
  <c r="B157" i="2"/>
  <c r="I156" i="2"/>
  <c r="G156" i="2"/>
  <c r="F156" i="2"/>
  <c r="C156" i="2"/>
  <c r="B156" i="2"/>
  <c r="I155" i="2"/>
  <c r="G155" i="2"/>
  <c r="F155" i="2"/>
  <c r="C155" i="2"/>
  <c r="B155" i="2"/>
  <c r="I154" i="2"/>
  <c r="G154" i="2"/>
  <c r="F154" i="2"/>
  <c r="C154" i="2"/>
  <c r="B154" i="2"/>
  <c r="I153" i="2"/>
  <c r="G153" i="2"/>
  <c r="F153" i="2"/>
  <c r="C153" i="2"/>
  <c r="B153" i="2"/>
  <c r="I152" i="2"/>
  <c r="G152" i="2"/>
  <c r="F152" i="2"/>
  <c r="C152" i="2"/>
  <c r="B152" i="2"/>
  <c r="I151" i="2"/>
  <c r="G151" i="2"/>
  <c r="F151" i="2"/>
  <c r="C151" i="2"/>
  <c r="B151" i="2"/>
  <c r="I150" i="2"/>
  <c r="G150" i="2"/>
  <c r="F150" i="2"/>
  <c r="C150" i="2"/>
  <c r="B150" i="2"/>
  <c r="I149" i="2"/>
  <c r="G149" i="2"/>
  <c r="F149" i="2"/>
  <c r="C149" i="2"/>
  <c r="B149" i="2"/>
  <c r="I148" i="2"/>
  <c r="G148" i="2"/>
  <c r="F148" i="2"/>
  <c r="C148" i="2"/>
  <c r="B148" i="2"/>
  <c r="I147" i="2"/>
  <c r="G147" i="2"/>
  <c r="F147" i="2"/>
  <c r="C147" i="2"/>
  <c r="B147" i="2"/>
  <c r="I146" i="2"/>
  <c r="G146" i="2"/>
  <c r="F146" i="2"/>
  <c r="C146" i="2"/>
  <c r="B146" i="2"/>
  <c r="I145" i="2"/>
  <c r="G145" i="2"/>
  <c r="F145" i="2"/>
  <c r="C145" i="2"/>
  <c r="B145" i="2"/>
  <c r="I144" i="2"/>
  <c r="G144" i="2"/>
  <c r="F144" i="2"/>
  <c r="C144" i="2"/>
  <c r="B144" i="2"/>
  <c r="I143" i="2"/>
  <c r="G143" i="2"/>
  <c r="F143" i="2"/>
  <c r="C143" i="2"/>
  <c r="B143" i="2"/>
  <c r="I142" i="2"/>
  <c r="G142" i="2"/>
  <c r="F142" i="2"/>
  <c r="C142" i="2"/>
  <c r="B142" i="2"/>
  <c r="I141" i="2"/>
  <c r="G141" i="2"/>
  <c r="F141" i="2"/>
  <c r="C141" i="2"/>
  <c r="B141" i="2"/>
  <c r="I140" i="2"/>
  <c r="G140" i="2"/>
  <c r="F140" i="2"/>
  <c r="C140" i="2"/>
  <c r="B140" i="2"/>
  <c r="I139" i="2"/>
  <c r="G139" i="2"/>
  <c r="F139" i="2"/>
  <c r="C139" i="2"/>
  <c r="B139" i="2"/>
  <c r="I138" i="2"/>
  <c r="G138" i="2"/>
  <c r="F138" i="2"/>
  <c r="C138" i="2"/>
  <c r="B138" i="2"/>
  <c r="I137" i="2"/>
  <c r="G137" i="2"/>
  <c r="F137" i="2"/>
  <c r="C137" i="2"/>
  <c r="B137" i="2"/>
  <c r="I136" i="2"/>
  <c r="G136" i="2"/>
  <c r="F136" i="2"/>
  <c r="C136" i="2"/>
  <c r="B136" i="2"/>
  <c r="I135" i="2"/>
  <c r="G135" i="2"/>
  <c r="F135" i="2"/>
  <c r="C135" i="2"/>
  <c r="B135" i="2"/>
  <c r="I134" i="2"/>
  <c r="G134" i="2"/>
  <c r="F134" i="2"/>
  <c r="C134" i="2"/>
  <c r="B134" i="2"/>
  <c r="I133" i="2"/>
  <c r="G133" i="2"/>
  <c r="F133" i="2"/>
  <c r="C133" i="2"/>
  <c r="B133" i="2"/>
  <c r="I132" i="2"/>
  <c r="G132" i="2"/>
  <c r="F132" i="2"/>
  <c r="C132" i="2"/>
  <c r="B132" i="2"/>
  <c r="I131" i="2"/>
  <c r="G131" i="2"/>
  <c r="F131" i="2"/>
  <c r="C131" i="2"/>
  <c r="B131" i="2"/>
  <c r="I130" i="2"/>
  <c r="G130" i="2"/>
  <c r="F130" i="2"/>
  <c r="C130" i="2"/>
  <c r="B130" i="2"/>
  <c r="I129" i="2"/>
  <c r="G129" i="2"/>
  <c r="F129" i="2"/>
  <c r="C129" i="2"/>
  <c r="B129" i="2"/>
  <c r="I128" i="2"/>
  <c r="G128" i="2"/>
  <c r="F128" i="2"/>
  <c r="C128" i="2"/>
  <c r="B128" i="2"/>
  <c r="I127" i="2"/>
  <c r="G127" i="2"/>
  <c r="F127" i="2"/>
  <c r="C127" i="2"/>
  <c r="B127" i="2"/>
  <c r="I126" i="2"/>
  <c r="G126" i="2"/>
  <c r="F126" i="2"/>
  <c r="C126" i="2"/>
  <c r="B126" i="2"/>
  <c r="I125" i="2"/>
  <c r="G125" i="2"/>
  <c r="F125" i="2"/>
  <c r="C125" i="2"/>
  <c r="B125" i="2"/>
  <c r="I124" i="2"/>
  <c r="G124" i="2"/>
  <c r="F124" i="2"/>
  <c r="C124" i="2"/>
  <c r="B124" i="2"/>
  <c r="I123" i="2"/>
  <c r="G123" i="2"/>
  <c r="F123" i="2"/>
  <c r="C123" i="2"/>
  <c r="B123" i="2"/>
  <c r="I122" i="2"/>
  <c r="G122" i="2"/>
  <c r="F122" i="2"/>
  <c r="C122" i="2"/>
  <c r="B122" i="2"/>
  <c r="I121" i="2"/>
  <c r="G121" i="2"/>
  <c r="F121" i="2"/>
  <c r="C121" i="2"/>
  <c r="B121" i="2"/>
  <c r="I120" i="2"/>
  <c r="G120" i="2"/>
  <c r="F120" i="2"/>
  <c r="C120" i="2"/>
  <c r="B120" i="2"/>
  <c r="I119" i="2"/>
  <c r="G119" i="2"/>
  <c r="F119" i="2"/>
  <c r="C119" i="2"/>
  <c r="B119" i="2"/>
  <c r="I118" i="2"/>
  <c r="G118" i="2"/>
  <c r="F118" i="2"/>
  <c r="C118" i="2"/>
  <c r="B118" i="2"/>
  <c r="I117" i="2"/>
  <c r="G117" i="2"/>
  <c r="F117" i="2"/>
  <c r="C117" i="2"/>
  <c r="B117" i="2"/>
  <c r="I116" i="2"/>
  <c r="G116" i="2"/>
  <c r="F116" i="2"/>
  <c r="C116" i="2"/>
  <c r="B116" i="2"/>
  <c r="I115" i="2"/>
  <c r="G115" i="2"/>
  <c r="F115" i="2"/>
  <c r="C115" i="2"/>
  <c r="B115" i="2"/>
  <c r="I114" i="2"/>
  <c r="G114" i="2"/>
  <c r="F114" i="2"/>
  <c r="C114" i="2"/>
  <c r="B114" i="2"/>
  <c r="I113" i="2"/>
  <c r="G113" i="2"/>
  <c r="F113" i="2"/>
  <c r="C113" i="2"/>
  <c r="B113" i="2"/>
  <c r="I112" i="2"/>
  <c r="G112" i="2"/>
  <c r="F112" i="2"/>
  <c r="C112" i="2"/>
  <c r="B112" i="2"/>
  <c r="I111" i="2"/>
  <c r="G111" i="2"/>
  <c r="F111" i="2"/>
  <c r="C111" i="2"/>
  <c r="B111" i="2"/>
  <c r="I110" i="2"/>
  <c r="G110" i="2"/>
  <c r="F110" i="2"/>
  <c r="C110" i="2"/>
  <c r="B110" i="2"/>
  <c r="I109" i="2"/>
  <c r="G109" i="2"/>
  <c r="F109" i="2"/>
  <c r="C109" i="2"/>
  <c r="B109" i="2"/>
  <c r="I108" i="2"/>
  <c r="G108" i="2"/>
  <c r="F108" i="2"/>
  <c r="C108" i="2"/>
  <c r="B108" i="2"/>
  <c r="I107" i="2"/>
  <c r="G107" i="2"/>
  <c r="F107" i="2"/>
  <c r="C107" i="2"/>
  <c r="B107" i="2"/>
  <c r="I106" i="2"/>
  <c r="G106" i="2"/>
  <c r="F106" i="2"/>
  <c r="C106" i="2"/>
  <c r="B106" i="2"/>
  <c r="I105" i="2"/>
  <c r="G105" i="2"/>
  <c r="F105" i="2"/>
  <c r="C105" i="2"/>
  <c r="B105" i="2"/>
  <c r="I104" i="2"/>
  <c r="G104" i="2"/>
  <c r="F104" i="2"/>
  <c r="C104" i="2"/>
  <c r="B104" i="2"/>
  <c r="I103" i="2"/>
  <c r="G103" i="2"/>
  <c r="F103" i="2"/>
  <c r="C103" i="2"/>
  <c r="B103" i="2"/>
  <c r="I102" i="2"/>
  <c r="G102" i="2"/>
  <c r="F102" i="2"/>
  <c r="C102" i="2"/>
  <c r="B102" i="2"/>
  <c r="I101" i="2"/>
  <c r="G101" i="2"/>
  <c r="F101" i="2"/>
  <c r="C101" i="2"/>
  <c r="B101" i="2"/>
  <c r="I100" i="2"/>
  <c r="G100" i="2"/>
  <c r="F100" i="2"/>
  <c r="C100" i="2"/>
  <c r="B100" i="2"/>
  <c r="I99" i="2"/>
  <c r="G99" i="2"/>
  <c r="F99" i="2"/>
  <c r="C99" i="2"/>
  <c r="B99" i="2"/>
  <c r="I98" i="2"/>
  <c r="G98" i="2"/>
  <c r="F98" i="2"/>
  <c r="C98" i="2"/>
  <c r="B98" i="2"/>
  <c r="I97" i="2"/>
  <c r="G97" i="2"/>
  <c r="F97" i="2"/>
  <c r="C97" i="2"/>
  <c r="B97" i="2"/>
  <c r="I96" i="2"/>
  <c r="G96" i="2"/>
  <c r="F96" i="2"/>
  <c r="C96" i="2"/>
  <c r="B96" i="2"/>
  <c r="I95" i="2"/>
  <c r="G95" i="2"/>
  <c r="F95" i="2"/>
  <c r="C95" i="2"/>
  <c r="B95" i="2"/>
  <c r="G94" i="2"/>
  <c r="F94" i="2"/>
  <c r="C94" i="2"/>
  <c r="B94" i="2"/>
  <c r="G93" i="2"/>
  <c r="F93" i="2"/>
  <c r="C93" i="2"/>
  <c r="B93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F45" i="2"/>
  <c r="B45" i="2"/>
  <c r="F44" i="2"/>
  <c r="B44" i="2"/>
  <c r="F43" i="2"/>
  <c r="B43" i="2"/>
  <c r="F42" i="2"/>
  <c r="B42" i="2"/>
  <c r="F41" i="2"/>
  <c r="B41" i="2"/>
  <c r="F40" i="2"/>
  <c r="B40" i="2"/>
  <c r="F39" i="2"/>
  <c r="B39" i="2"/>
  <c r="F38" i="2"/>
  <c r="D38" i="2"/>
  <c r="B38" i="2"/>
  <c r="F37" i="2"/>
  <c r="D37" i="2"/>
  <c r="B37" i="2"/>
  <c r="F36" i="2"/>
  <c r="D36" i="2"/>
  <c r="B36" i="2"/>
  <c r="F35" i="2"/>
  <c r="D35" i="2"/>
  <c r="B35" i="2"/>
  <c r="F34" i="2"/>
  <c r="D34" i="2"/>
  <c r="B34" i="2"/>
  <c r="F33" i="2"/>
  <c r="D33" i="2"/>
  <c r="B33" i="2"/>
  <c r="F32" i="2"/>
  <c r="D32" i="2"/>
  <c r="B32" i="2"/>
  <c r="F31" i="2"/>
  <c r="D31" i="2"/>
  <c r="B31" i="2"/>
  <c r="F30" i="2"/>
  <c r="D30" i="2"/>
  <c r="B30" i="2"/>
  <c r="F29" i="2"/>
  <c r="D29" i="2"/>
  <c r="B29" i="2"/>
  <c r="F28" i="2"/>
  <c r="D28" i="2"/>
  <c r="B28" i="2"/>
  <c r="F27" i="2"/>
  <c r="D27" i="2"/>
  <c r="B27" i="2"/>
  <c r="F26" i="2"/>
  <c r="D26" i="2"/>
  <c r="B26" i="2"/>
  <c r="F25" i="2"/>
  <c r="D25" i="2"/>
  <c r="B25" i="2"/>
  <c r="F24" i="2"/>
  <c r="D24" i="2"/>
  <c r="B24" i="2"/>
  <c r="F23" i="2"/>
  <c r="D23" i="2"/>
  <c r="C19" i="2"/>
  <c r="C18" i="2"/>
  <c r="B23" i="2"/>
  <c r="E13" i="2"/>
  <c r="E14" i="2"/>
  <c r="D13" i="2"/>
  <c r="C13" i="2"/>
  <c r="F13" i="2" s="1"/>
  <c r="C14" i="2"/>
  <c r="N14" i="2" s="1"/>
  <c r="Q13" i="2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Y10" i="1"/>
  <c r="V10" i="1" s="1"/>
  <c r="Y11" i="1"/>
  <c r="V11" i="1" s="1"/>
  <c r="Y12" i="1"/>
  <c r="V12" i="1" s="1"/>
  <c r="Y13" i="1"/>
  <c r="V13" i="1" s="1"/>
  <c r="AH97" i="1"/>
  <c r="AH98" i="1"/>
  <c r="U414" i="1" a="1"/>
  <c r="U414" i="1"/>
  <c r="Y414" i="1" s="1"/>
  <c r="V414" i="1" s="1"/>
  <c r="U415" i="1" a="1"/>
  <c r="U415" i="1"/>
  <c r="Y415" i="1" s="1"/>
  <c r="V415" i="1" s="1"/>
  <c r="U416" i="1" a="1"/>
  <c r="U416" i="1"/>
  <c r="Y416" i="1" s="1"/>
  <c r="V416" i="1" s="1"/>
  <c r="U417" i="1" a="1"/>
  <c r="U417" i="1" s="1"/>
  <c r="U418" i="1" a="1"/>
  <c r="U418" i="1" s="1"/>
  <c r="U419" i="1" a="1"/>
  <c r="U419" i="1" s="1"/>
  <c r="U420" i="1" a="1"/>
  <c r="U420" i="1"/>
  <c r="U421" i="1" a="1"/>
  <c r="U421" i="1" s="1"/>
  <c r="U422" i="1" a="1"/>
  <c r="U422" i="1" s="1"/>
  <c r="U423" i="1" a="1"/>
  <c r="U423" i="1"/>
  <c r="U424" i="1" a="1"/>
  <c r="U424" i="1"/>
  <c r="U425" i="1" a="1"/>
  <c r="U425" i="1"/>
  <c r="A427" i="1"/>
  <c r="A428" i="1" s="1"/>
  <c r="J4" i="2" s="1"/>
  <c r="D1" i="3" s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U138" i="1" a="1"/>
  <c r="U138" i="1" s="1"/>
  <c r="D9" i="2"/>
  <c r="C9" i="2"/>
  <c r="Q9" i="2"/>
  <c r="AH96" i="1"/>
  <c r="AH95" i="1"/>
  <c r="H134" i="1"/>
  <c r="AH94" i="1"/>
  <c r="Y401" i="1" s="1"/>
  <c r="AH93" i="1"/>
  <c r="AH32" i="1"/>
  <c r="Y20" i="1" s="1"/>
  <c r="AH33" i="1"/>
  <c r="Y25" i="1" s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Y393" i="1" s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31" i="1"/>
  <c r="Y15" i="1" s="1"/>
  <c r="Q4" i="2"/>
  <c r="Q5" i="2"/>
  <c r="Q6" i="2"/>
  <c r="Q7" i="2"/>
  <c r="Q8" i="2"/>
  <c r="Q10" i="2"/>
  <c r="Q11" i="2"/>
  <c r="Q12" i="2"/>
  <c r="Q14" i="2"/>
  <c r="Q3" i="2"/>
  <c r="U267" i="1" a="1"/>
  <c r="U267" i="1" s="1"/>
  <c r="O12" i="2"/>
  <c r="N12" i="2"/>
  <c r="F12" i="2"/>
  <c r="R12" i="2" s="1"/>
  <c r="O11" i="2"/>
  <c r="U140" i="1" a="1"/>
  <c r="U140" i="1" s="1"/>
  <c r="D11" i="2"/>
  <c r="F11" i="2" s="1"/>
  <c r="R11" i="2" s="1"/>
  <c r="D14" i="2"/>
  <c r="N11" i="2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9" i="1"/>
  <c r="I39" i="1"/>
  <c r="J39" i="1"/>
  <c r="H41" i="1"/>
  <c r="I41" i="1"/>
  <c r="J41" i="1"/>
  <c r="H42" i="1"/>
  <c r="I42" i="1"/>
  <c r="J42" i="1"/>
  <c r="H44" i="1"/>
  <c r="I44" i="1"/>
  <c r="J44" i="1"/>
  <c r="H46" i="1"/>
  <c r="I46" i="1"/>
  <c r="J46" i="1"/>
  <c r="H47" i="1"/>
  <c r="I47" i="1"/>
  <c r="J47" i="1"/>
  <c r="H48" i="1"/>
  <c r="I48" i="1"/>
  <c r="J48" i="1"/>
  <c r="H49" i="1"/>
  <c r="I49" i="1"/>
  <c r="J49" i="1"/>
  <c r="H51" i="1"/>
  <c r="I51" i="1"/>
  <c r="J51" i="1"/>
  <c r="H52" i="1"/>
  <c r="I52" i="1"/>
  <c r="J52" i="1"/>
  <c r="H53" i="1"/>
  <c r="I53" i="1"/>
  <c r="J53" i="1"/>
  <c r="H54" i="1"/>
  <c r="I54" i="1"/>
  <c r="J54" i="1"/>
  <c r="H56" i="1"/>
  <c r="I56" i="1"/>
  <c r="J56" i="1"/>
  <c r="H57" i="1"/>
  <c r="I57" i="1"/>
  <c r="J57" i="1"/>
  <c r="H58" i="1"/>
  <c r="I58" i="1"/>
  <c r="J58" i="1"/>
  <c r="H59" i="1"/>
  <c r="I59" i="1"/>
  <c r="J59" i="1"/>
  <c r="H61" i="1"/>
  <c r="I61" i="1"/>
  <c r="J61" i="1"/>
  <c r="H62" i="1"/>
  <c r="I62" i="1"/>
  <c r="J62" i="1"/>
  <c r="H64" i="1"/>
  <c r="I64" i="1"/>
  <c r="J64" i="1"/>
  <c r="H66" i="1"/>
  <c r="I66" i="1"/>
  <c r="J66" i="1"/>
  <c r="H68" i="1"/>
  <c r="I68" i="1"/>
  <c r="J68" i="1"/>
  <c r="H69" i="1"/>
  <c r="I69" i="1"/>
  <c r="J69" i="1"/>
  <c r="H71" i="1"/>
  <c r="I71" i="1"/>
  <c r="J71" i="1"/>
  <c r="H72" i="1"/>
  <c r="I72" i="1"/>
  <c r="J72" i="1"/>
  <c r="H73" i="1"/>
  <c r="I73" i="1"/>
  <c r="J73" i="1"/>
  <c r="H74" i="1"/>
  <c r="I74" i="1"/>
  <c r="J74" i="1"/>
  <c r="H78" i="1"/>
  <c r="I78" i="1"/>
  <c r="J78" i="1"/>
  <c r="H79" i="1"/>
  <c r="I79" i="1"/>
  <c r="J79" i="1"/>
  <c r="H82" i="1"/>
  <c r="I82" i="1"/>
  <c r="J82" i="1"/>
  <c r="H83" i="1"/>
  <c r="I83" i="1"/>
  <c r="J83" i="1"/>
  <c r="H84" i="1"/>
  <c r="I84" i="1"/>
  <c r="J84" i="1"/>
  <c r="H86" i="1"/>
  <c r="I86" i="1"/>
  <c r="J86" i="1"/>
  <c r="H88" i="1"/>
  <c r="I88" i="1"/>
  <c r="J88" i="1"/>
  <c r="H89" i="1"/>
  <c r="I89" i="1"/>
  <c r="J89" i="1"/>
  <c r="H91" i="1"/>
  <c r="I91" i="1"/>
  <c r="J91" i="1"/>
  <c r="H92" i="1"/>
  <c r="I92" i="1"/>
  <c r="J92" i="1"/>
  <c r="H93" i="1"/>
  <c r="I93" i="1"/>
  <c r="J93" i="1"/>
  <c r="H95" i="1"/>
  <c r="I95" i="1"/>
  <c r="J95" i="1"/>
  <c r="H99" i="1"/>
  <c r="I99" i="1"/>
  <c r="J99" i="1"/>
  <c r="H101" i="1"/>
  <c r="I101" i="1"/>
  <c r="J101" i="1"/>
  <c r="H103" i="1"/>
  <c r="I103" i="1"/>
  <c r="J103" i="1"/>
  <c r="H104" i="1"/>
  <c r="I104" i="1"/>
  <c r="J104" i="1"/>
  <c r="H107" i="1"/>
  <c r="I107" i="1"/>
  <c r="J107" i="1"/>
  <c r="H108" i="1"/>
  <c r="I108" i="1"/>
  <c r="J108" i="1"/>
  <c r="H110" i="1"/>
  <c r="I110" i="1"/>
  <c r="J110" i="1"/>
  <c r="H112" i="1"/>
  <c r="I112" i="1"/>
  <c r="J112" i="1"/>
  <c r="H114" i="1"/>
  <c r="I114" i="1"/>
  <c r="J114" i="1"/>
  <c r="H115" i="1"/>
  <c r="I115" i="1"/>
  <c r="J115" i="1"/>
  <c r="H116" i="1"/>
  <c r="I116" i="1"/>
  <c r="J116" i="1"/>
  <c r="H118" i="1"/>
  <c r="I118" i="1"/>
  <c r="J118" i="1"/>
  <c r="H120" i="1"/>
  <c r="I120" i="1"/>
  <c r="J120" i="1"/>
  <c r="H122" i="1"/>
  <c r="I122" i="1"/>
  <c r="J122" i="1"/>
  <c r="H123" i="1"/>
  <c r="I123" i="1"/>
  <c r="J123" i="1"/>
  <c r="H124" i="1"/>
  <c r="I124" i="1"/>
  <c r="J124" i="1"/>
  <c r="H126" i="1"/>
  <c r="I126" i="1"/>
  <c r="J126" i="1"/>
  <c r="H127" i="1"/>
  <c r="I127" i="1"/>
  <c r="J127" i="1"/>
  <c r="H129" i="1"/>
  <c r="I129" i="1"/>
  <c r="J129" i="1"/>
  <c r="H132" i="1"/>
  <c r="I132" i="1"/>
  <c r="J132" i="1"/>
  <c r="H133" i="1"/>
  <c r="I133" i="1"/>
  <c r="J133" i="1"/>
  <c r="H135" i="1"/>
  <c r="I135" i="1"/>
  <c r="J135" i="1"/>
  <c r="H136" i="1"/>
  <c r="I136" i="1"/>
  <c r="J136" i="1"/>
  <c r="H137" i="1"/>
  <c r="I137" i="1"/>
  <c r="J137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50" i="1"/>
  <c r="I150" i="1"/>
  <c r="J150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6" i="1"/>
  <c r="I176" i="1"/>
  <c r="J176" i="1"/>
  <c r="H178" i="1"/>
  <c r="I178" i="1"/>
  <c r="J178" i="1"/>
  <c r="H180" i="1"/>
  <c r="I180" i="1"/>
  <c r="J180" i="1"/>
  <c r="H184" i="1"/>
  <c r="I184" i="1"/>
  <c r="J184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2" i="1"/>
  <c r="I192" i="1"/>
  <c r="J192" i="1"/>
  <c r="H193" i="1"/>
  <c r="I193" i="1"/>
  <c r="J193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4" i="1"/>
  <c r="I204" i="1"/>
  <c r="J204" i="1"/>
  <c r="H205" i="1"/>
  <c r="I205" i="1"/>
  <c r="J205" i="1"/>
  <c r="H206" i="1"/>
  <c r="I206" i="1"/>
  <c r="J206" i="1"/>
  <c r="H208" i="1"/>
  <c r="I208" i="1"/>
  <c r="J208" i="1"/>
  <c r="H210" i="1"/>
  <c r="I210" i="1"/>
  <c r="J210" i="1"/>
  <c r="H211" i="1"/>
  <c r="I211" i="1"/>
  <c r="J211" i="1"/>
  <c r="H212" i="1"/>
  <c r="I212" i="1"/>
  <c r="J212" i="1"/>
  <c r="H214" i="1"/>
  <c r="I214" i="1"/>
  <c r="J214" i="1"/>
  <c r="H216" i="1"/>
  <c r="I216" i="1"/>
  <c r="J216" i="1"/>
  <c r="H217" i="1"/>
  <c r="I217" i="1"/>
  <c r="J217" i="1"/>
  <c r="H219" i="1"/>
  <c r="I219" i="1"/>
  <c r="J219" i="1"/>
  <c r="H220" i="1"/>
  <c r="I220" i="1"/>
  <c r="J220" i="1"/>
  <c r="H222" i="1"/>
  <c r="I222" i="1"/>
  <c r="J222" i="1"/>
  <c r="H223" i="1"/>
  <c r="I223" i="1"/>
  <c r="J223" i="1"/>
  <c r="H225" i="1"/>
  <c r="I225" i="1"/>
  <c r="J225" i="1"/>
  <c r="H226" i="1"/>
  <c r="I226" i="1"/>
  <c r="J226" i="1"/>
  <c r="H228" i="1"/>
  <c r="I228" i="1"/>
  <c r="J228" i="1"/>
  <c r="H229" i="1"/>
  <c r="I229" i="1"/>
  <c r="J229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50" i="1"/>
  <c r="I250" i="1"/>
  <c r="J250" i="1"/>
  <c r="H251" i="1"/>
  <c r="I251" i="1"/>
  <c r="J251" i="1"/>
  <c r="H256" i="1"/>
  <c r="I256" i="1"/>
  <c r="J256" i="1"/>
  <c r="H257" i="1"/>
  <c r="I257" i="1"/>
  <c r="J257" i="1"/>
  <c r="H258" i="1"/>
  <c r="I258" i="1"/>
  <c r="J258" i="1"/>
  <c r="H260" i="1"/>
  <c r="I260" i="1"/>
  <c r="J260" i="1"/>
  <c r="H262" i="1"/>
  <c r="I262" i="1"/>
  <c r="J262" i="1"/>
  <c r="H266" i="1"/>
  <c r="I266" i="1"/>
  <c r="J266" i="1"/>
  <c r="H269" i="1"/>
  <c r="I269" i="1"/>
  <c r="J269" i="1"/>
  <c r="H270" i="1"/>
  <c r="I270" i="1"/>
  <c r="J270" i="1"/>
  <c r="H271" i="1"/>
  <c r="I271" i="1"/>
  <c r="J271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7" i="1"/>
  <c r="I287" i="1"/>
  <c r="J287" i="1"/>
  <c r="H288" i="1"/>
  <c r="I288" i="1"/>
  <c r="J288" i="1"/>
  <c r="H291" i="1"/>
  <c r="I291" i="1"/>
  <c r="J291" i="1"/>
  <c r="H292" i="1"/>
  <c r="I292" i="1"/>
  <c r="J292" i="1"/>
  <c r="H294" i="1"/>
  <c r="I294" i="1"/>
  <c r="J294" i="1"/>
  <c r="H295" i="1"/>
  <c r="I295" i="1"/>
  <c r="J295" i="1"/>
  <c r="H298" i="1"/>
  <c r="I298" i="1"/>
  <c r="J298" i="1"/>
  <c r="H299" i="1"/>
  <c r="I299" i="1"/>
  <c r="J299" i="1"/>
  <c r="H301" i="1"/>
  <c r="I301" i="1"/>
  <c r="J301" i="1"/>
  <c r="H304" i="1"/>
  <c r="I304" i="1"/>
  <c r="J304" i="1"/>
  <c r="H305" i="1"/>
  <c r="I305" i="1"/>
  <c r="J305" i="1"/>
  <c r="H306" i="1"/>
  <c r="I306" i="1"/>
  <c r="J306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4" i="1"/>
  <c r="I314" i="1"/>
  <c r="J314" i="1"/>
  <c r="H315" i="1"/>
  <c r="I315" i="1"/>
  <c r="J315" i="1"/>
  <c r="H316" i="1"/>
  <c r="I316" i="1"/>
  <c r="J316" i="1"/>
  <c r="H318" i="1"/>
  <c r="I318" i="1"/>
  <c r="J318" i="1"/>
  <c r="H320" i="1"/>
  <c r="I320" i="1"/>
  <c r="J320" i="1"/>
  <c r="H322" i="1"/>
  <c r="I322" i="1"/>
  <c r="J322" i="1"/>
  <c r="H324" i="1"/>
  <c r="I324" i="1"/>
  <c r="J324" i="1"/>
  <c r="H326" i="1"/>
  <c r="I326" i="1"/>
  <c r="J326" i="1"/>
  <c r="H329" i="1"/>
  <c r="I329" i="1"/>
  <c r="J329" i="1"/>
  <c r="H330" i="1"/>
  <c r="I330" i="1"/>
  <c r="J330" i="1"/>
  <c r="H331" i="1"/>
  <c r="I331" i="1"/>
  <c r="J331" i="1"/>
  <c r="H333" i="1"/>
  <c r="I333" i="1"/>
  <c r="J333" i="1"/>
  <c r="H335" i="1"/>
  <c r="I335" i="1"/>
  <c r="J335" i="1"/>
  <c r="H337" i="1"/>
  <c r="I337" i="1"/>
  <c r="J337" i="1"/>
  <c r="H339" i="1"/>
  <c r="I339" i="1"/>
  <c r="J339" i="1"/>
  <c r="H340" i="1"/>
  <c r="I340" i="1"/>
  <c r="J340" i="1"/>
  <c r="H342" i="1"/>
  <c r="I342" i="1"/>
  <c r="J342" i="1"/>
  <c r="H344" i="1"/>
  <c r="I344" i="1"/>
  <c r="J344" i="1"/>
  <c r="H346" i="1"/>
  <c r="I346" i="1"/>
  <c r="J346" i="1"/>
  <c r="H347" i="1"/>
  <c r="I347" i="1"/>
  <c r="J347" i="1"/>
  <c r="H349" i="1"/>
  <c r="I349" i="1"/>
  <c r="J349" i="1"/>
  <c r="H350" i="1"/>
  <c r="I350" i="1"/>
  <c r="J350" i="1"/>
  <c r="H351" i="1"/>
  <c r="I351" i="1"/>
  <c r="J351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1" i="1"/>
  <c r="I371" i="1"/>
  <c r="J371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90" i="1"/>
  <c r="I390" i="1"/>
  <c r="J390" i="1"/>
  <c r="H394" i="1"/>
  <c r="I394" i="1"/>
  <c r="J394" i="1"/>
  <c r="H395" i="1"/>
  <c r="I395" i="1"/>
  <c r="J395" i="1"/>
  <c r="H396" i="1"/>
  <c r="I396" i="1"/>
  <c r="J396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I412" i="1"/>
  <c r="J412" i="1"/>
  <c r="I413" i="1"/>
  <c r="J413" i="1"/>
  <c r="I10" i="1"/>
  <c r="I11" i="1"/>
  <c r="I12" i="1"/>
  <c r="I13" i="1"/>
  <c r="I14" i="1"/>
  <c r="I15" i="1"/>
  <c r="I16" i="1"/>
  <c r="I18" i="1"/>
  <c r="I19" i="1"/>
  <c r="I21" i="1"/>
  <c r="H10" i="1"/>
  <c r="H11" i="1"/>
  <c r="H12" i="1"/>
  <c r="H13" i="1"/>
  <c r="H14" i="1"/>
  <c r="H15" i="1"/>
  <c r="H16" i="1"/>
  <c r="H18" i="1"/>
  <c r="H19" i="1"/>
  <c r="H21" i="1"/>
  <c r="H9" i="1"/>
  <c r="I9" i="1"/>
  <c r="J10" i="1"/>
  <c r="J11" i="1"/>
  <c r="J12" i="1"/>
  <c r="J13" i="1"/>
  <c r="J14" i="1"/>
  <c r="J15" i="1"/>
  <c r="J16" i="1"/>
  <c r="J18" i="1"/>
  <c r="J19" i="1"/>
  <c r="J21" i="1"/>
  <c r="J9" i="1"/>
  <c r="H213" i="1"/>
  <c r="Y140" i="1" l="1"/>
  <c r="Y138" i="1"/>
  <c r="Y419" i="1"/>
  <c r="V419" i="1" s="1"/>
  <c r="Y418" i="1"/>
  <c r="V418" i="1" s="1"/>
  <c r="Y417" i="1"/>
  <c r="V417" i="1" s="1"/>
  <c r="Y27" i="1"/>
  <c r="Y23" i="1"/>
  <c r="V23" i="1" s="1"/>
  <c r="Y21" i="1"/>
  <c r="Y18" i="1"/>
  <c r="Y17" i="1"/>
  <c r="Y16" i="1"/>
  <c r="Y421" i="1"/>
  <c r="V421" i="1" s="1"/>
  <c r="Y28" i="1"/>
  <c r="Y422" i="1"/>
  <c r="V422" i="1" s="1"/>
  <c r="Y423" i="1"/>
  <c r="V423" i="1" s="1"/>
  <c r="Y425" i="1"/>
  <c r="V425" i="1" s="1"/>
  <c r="Y424" i="1"/>
  <c r="V424" i="1" s="1"/>
  <c r="Y420" i="1"/>
  <c r="V420" i="1" s="1"/>
  <c r="V401" i="1"/>
  <c r="Y267" i="1"/>
  <c r="V267" i="1" s="1"/>
  <c r="V393" i="1"/>
  <c r="H393" i="1" s="1"/>
  <c r="Y26" i="1"/>
  <c r="V26" i="1" s="1"/>
  <c r="Y22" i="1"/>
  <c r="V22" i="1" s="1"/>
  <c r="V25" i="1"/>
  <c r="I25" i="1" s="1"/>
  <c r="V138" i="1"/>
  <c r="V21" i="1"/>
  <c r="F9" i="2"/>
  <c r="R9" i="2" s="1"/>
  <c r="AC101" i="1"/>
  <c r="AC103" i="1" s="1"/>
  <c r="AD103" i="1" s="1"/>
  <c r="AE103" i="1" s="1"/>
  <c r="F1" i="3" s="1"/>
  <c r="V18" i="1"/>
  <c r="V15" i="1"/>
  <c r="V17" i="1"/>
  <c r="H17" i="1" s="1"/>
  <c r="V16" i="1"/>
  <c r="V140" i="1"/>
  <c r="V20" i="1"/>
  <c r="I20" i="1" s="1"/>
  <c r="V28" i="1"/>
  <c r="H28" i="1" s="1"/>
  <c r="V27" i="1"/>
  <c r="I134" i="1"/>
  <c r="J134" i="1"/>
  <c r="O14" i="2"/>
  <c r="F14" i="2"/>
  <c r="R14" i="2" s="1"/>
  <c r="J343" i="1"/>
  <c r="I343" i="1"/>
  <c r="J213" i="1"/>
  <c r="I213" i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94" i="1" a="1"/>
  <c r="U94" i="1" s="1"/>
  <c r="U93" i="1" a="1"/>
  <c r="U93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4" i="1" a="1"/>
  <c r="U264" i="1" s="1"/>
  <c r="U265" i="1" a="1"/>
  <c r="U265" i="1" s="1"/>
  <c r="U266" i="1" a="1"/>
  <c r="U266" i="1" s="1"/>
  <c r="U268" i="1" a="1"/>
  <c r="U268" i="1" s="1"/>
  <c r="U269" i="1" a="1"/>
  <c r="U269" i="1" s="1"/>
  <c r="U270" i="1" a="1"/>
  <c r="U270" i="1" s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7" i="1" a="1"/>
  <c r="U327" i="1" s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5" i="1" a="1"/>
  <c r="U335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2" i="1" a="1"/>
  <c r="U342" i="1" s="1"/>
  <c r="U343" i="1" a="1"/>
  <c r="U343" i="1" s="1"/>
  <c r="U344" i="1" a="1"/>
  <c r="U344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6" i="1" a="1"/>
  <c r="U366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12" i="1" a="1"/>
  <c r="U412" i="1" s="1"/>
  <c r="U413" i="1" a="1"/>
  <c r="U413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42" i="1" a="1"/>
  <c r="U142" i="1" s="1"/>
  <c r="U143" i="1" a="1"/>
  <c r="U143" i="1" s="1"/>
  <c r="U144" i="1" a="1"/>
  <c r="U144" i="1" s="1"/>
  <c r="U145" i="1" a="1"/>
  <c r="U145" i="1" s="1"/>
  <c r="U146" i="1" a="1"/>
  <c r="U146" i="1" s="1"/>
  <c r="U147" i="1" a="1"/>
  <c r="U147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9" i="1" a="1"/>
  <c r="U139" i="1" s="1"/>
  <c r="U141" i="1" a="1"/>
  <c r="U141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07" i="1" a="1"/>
  <c r="U107" i="1" s="1"/>
  <c r="U106" i="1" a="1"/>
  <c r="U106" i="1" s="1"/>
  <c r="U105" i="1" a="1"/>
  <c r="U105" i="1" s="1"/>
  <c r="U31" i="1" a="1"/>
  <c r="U31" i="1" s="1"/>
  <c r="U36" i="1" a="1"/>
  <c r="U36" i="1" s="1"/>
  <c r="U41" i="1" a="1"/>
  <c r="U41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101" i="1" a="1"/>
  <c r="U101" i="1" s="1"/>
  <c r="U102" i="1" a="1"/>
  <c r="U102" i="1" s="1"/>
  <c r="U103" i="1" a="1"/>
  <c r="U103" i="1" s="1"/>
  <c r="U104" i="1" a="1"/>
  <c r="U104" i="1" s="1"/>
  <c r="U63" i="1" a="1"/>
  <c r="U63" i="1" s="1"/>
  <c r="U61" i="1" a="1"/>
  <c r="U61" i="1" s="1"/>
  <c r="U62" i="1" a="1"/>
  <c r="U62" i="1" s="1"/>
  <c r="U56" i="1" a="1"/>
  <c r="U56" i="1" s="1"/>
  <c r="U51" i="1" a="1"/>
  <c r="U51" i="1" s="1"/>
  <c r="U46" i="1" a="1"/>
  <c r="U46" i="1" s="1"/>
  <c r="E8" i="2"/>
  <c r="U49" i="1" a="1"/>
  <c r="U49" i="1" s="1"/>
  <c r="U50" i="1" a="1"/>
  <c r="U50" i="1" s="1"/>
  <c r="U52" i="1" a="1"/>
  <c r="U52" i="1" s="1"/>
  <c r="U53" i="1" a="1"/>
  <c r="U53" i="1" s="1"/>
  <c r="U54" i="1" a="1"/>
  <c r="U54" i="1" s="1"/>
  <c r="U55" i="1" a="1"/>
  <c r="U55" i="1" s="1"/>
  <c r="U57" i="1" a="1"/>
  <c r="U57" i="1" s="1"/>
  <c r="U58" i="1" a="1"/>
  <c r="U58" i="1" s="1"/>
  <c r="U59" i="1" a="1"/>
  <c r="U59" i="1" s="1"/>
  <c r="U60" i="1" a="1"/>
  <c r="U60" i="1" s="1"/>
  <c r="U44" i="1" a="1"/>
  <c r="U44" i="1" s="1"/>
  <c r="U45" i="1" a="1"/>
  <c r="U45" i="1" s="1"/>
  <c r="U47" i="1" a="1"/>
  <c r="U47" i="1" s="1"/>
  <c r="U48" i="1" a="1"/>
  <c r="U48" i="1" s="1"/>
  <c r="U39" i="1" a="1"/>
  <c r="U39" i="1" s="1"/>
  <c r="U40" i="1" a="1"/>
  <c r="U40" i="1" s="1"/>
  <c r="U42" i="1" a="1"/>
  <c r="U42" i="1" s="1"/>
  <c r="U43" i="1" a="1"/>
  <c r="U43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Y9" i="1" s="1"/>
  <c r="R4" i="1"/>
  <c r="Q2" i="1"/>
  <c r="Q3" i="1" s="1"/>
  <c r="E4" i="2"/>
  <c r="E5" i="2"/>
  <c r="E6" i="2"/>
  <c r="E7" i="2"/>
  <c r="E10" i="2"/>
  <c r="E3" i="2"/>
  <c r="D3" i="2"/>
  <c r="D8" i="2"/>
  <c r="C8" i="2"/>
  <c r="D4" i="2"/>
  <c r="D5" i="2"/>
  <c r="D6" i="2"/>
  <c r="D7" i="2"/>
  <c r="D10" i="2"/>
  <c r="C4" i="2"/>
  <c r="C5" i="2"/>
  <c r="C6" i="2"/>
  <c r="C7" i="2"/>
  <c r="C10" i="2"/>
  <c r="C3" i="2"/>
  <c r="J23" i="1" l="1"/>
  <c r="H23" i="1"/>
  <c r="J25" i="1"/>
  <c r="I22" i="1"/>
  <c r="J22" i="1"/>
  <c r="H22" i="1"/>
  <c r="Y45" i="1"/>
  <c r="V45" i="1" s="1"/>
  <c r="Y83" i="1"/>
  <c r="V83" i="1" s="1"/>
  <c r="Y129" i="1"/>
  <c r="V129" i="1" s="1"/>
  <c r="Y161" i="1"/>
  <c r="V161" i="1" s="1"/>
  <c r="Y387" i="1"/>
  <c r="V387" i="1" s="1"/>
  <c r="Y355" i="1"/>
  <c r="V355" i="1" s="1"/>
  <c r="Y321" i="1"/>
  <c r="V321" i="1" s="1"/>
  <c r="Y270" i="1"/>
  <c r="V270" i="1" s="1"/>
  <c r="Y220" i="1"/>
  <c r="V220" i="1" s="1"/>
  <c r="Y44" i="1"/>
  <c r="V44" i="1" s="1"/>
  <c r="Y66" i="1"/>
  <c r="V66" i="1" s="1"/>
  <c r="Y118" i="1"/>
  <c r="V118" i="1" s="1"/>
  <c r="Y404" i="1"/>
  <c r="V404" i="1" s="1"/>
  <c r="Y354" i="1"/>
  <c r="V354" i="1" s="1"/>
  <c r="Y320" i="1"/>
  <c r="V320" i="1" s="1"/>
  <c r="Y285" i="1"/>
  <c r="V285" i="1" s="1"/>
  <c r="Y219" i="1"/>
  <c r="V219" i="1" s="1"/>
  <c r="Y63" i="1"/>
  <c r="V63" i="1" s="1"/>
  <c r="Y65" i="1"/>
  <c r="V65" i="1" s="1"/>
  <c r="J65" i="1" s="1"/>
  <c r="Y127" i="1"/>
  <c r="V127" i="1" s="1"/>
  <c r="Y171" i="1"/>
  <c r="V171" i="1" s="1"/>
  <c r="Y385" i="1"/>
  <c r="V385" i="1" s="1"/>
  <c r="Y336" i="1"/>
  <c r="V336" i="1" s="1"/>
  <c r="I336" i="1" s="1"/>
  <c r="Y284" i="1"/>
  <c r="V284" i="1" s="1"/>
  <c r="Y186" i="1"/>
  <c r="V186" i="1" s="1"/>
  <c r="Y59" i="1"/>
  <c r="V59" i="1" s="1"/>
  <c r="Y80" i="1"/>
  <c r="V80" i="1" s="1"/>
  <c r="Y116" i="1"/>
  <c r="V116" i="1" s="1"/>
  <c r="Y150" i="1"/>
  <c r="V150" i="1" s="1"/>
  <c r="Y384" i="1"/>
  <c r="V384" i="1" s="1"/>
  <c r="Y335" i="1"/>
  <c r="V335" i="1" s="1"/>
  <c r="Y318" i="1"/>
  <c r="V318" i="1" s="1"/>
  <c r="Y233" i="1"/>
  <c r="V233" i="1" s="1"/>
  <c r="Y103" i="1"/>
  <c r="V103" i="1" s="1"/>
  <c r="Y41" i="1"/>
  <c r="V41" i="1" s="1"/>
  <c r="Y139" i="1"/>
  <c r="V139" i="1" s="1"/>
  <c r="Y169" i="1"/>
  <c r="V169" i="1" s="1"/>
  <c r="Y367" i="1"/>
  <c r="V367" i="1" s="1"/>
  <c r="Y334" i="1"/>
  <c r="V334" i="1" s="1"/>
  <c r="J334" i="1" s="1"/>
  <c r="Y300" i="1"/>
  <c r="V300" i="1" s="1"/>
  <c r="H300" i="1" s="1"/>
  <c r="Y265" i="1"/>
  <c r="V265" i="1" s="1"/>
  <c r="H265" i="1" s="1"/>
  <c r="Y216" i="1"/>
  <c r="V216" i="1" s="1"/>
  <c r="Y184" i="1"/>
  <c r="V184" i="1" s="1"/>
  <c r="Y99" i="1"/>
  <c r="V99" i="1" s="1"/>
  <c r="Y57" i="1"/>
  <c r="V57" i="1" s="1"/>
  <c r="Y78" i="1"/>
  <c r="V78" i="1" s="1"/>
  <c r="Y114" i="1"/>
  <c r="V114" i="1" s="1"/>
  <c r="Y168" i="1"/>
  <c r="V168" i="1" s="1"/>
  <c r="Y382" i="1"/>
  <c r="V382" i="1" s="1"/>
  <c r="Y333" i="1"/>
  <c r="V333" i="1" s="1"/>
  <c r="Y264" i="1"/>
  <c r="V264" i="1" s="1"/>
  <c r="Y247" i="1"/>
  <c r="V247" i="1" s="1"/>
  <c r="Y215" i="1"/>
  <c r="V215" i="1" s="1"/>
  <c r="Y199" i="1"/>
  <c r="V199" i="1" s="1"/>
  <c r="Y183" i="1"/>
  <c r="V183" i="1" s="1"/>
  <c r="I183" i="1" s="1"/>
  <c r="Y55" i="1"/>
  <c r="V55" i="1" s="1"/>
  <c r="H55" i="1" s="1"/>
  <c r="Y77" i="1"/>
  <c r="V77" i="1" s="1"/>
  <c r="H77" i="1" s="1"/>
  <c r="Y126" i="1"/>
  <c r="V126" i="1" s="1"/>
  <c r="Y159" i="1"/>
  <c r="V159" i="1" s="1"/>
  <c r="Y381" i="1"/>
  <c r="V381" i="1" s="1"/>
  <c r="Y349" i="1"/>
  <c r="V349" i="1" s="1"/>
  <c r="Y315" i="1"/>
  <c r="V315" i="1" s="1"/>
  <c r="Y262" i="1"/>
  <c r="V262" i="1" s="1"/>
  <c r="Y54" i="1"/>
  <c r="V54" i="1" s="1"/>
  <c r="Y105" i="1"/>
  <c r="V105" i="1" s="1"/>
  <c r="Y166" i="1"/>
  <c r="V166" i="1" s="1"/>
  <c r="Y364" i="1"/>
  <c r="V364" i="1" s="1"/>
  <c r="Y331" i="1"/>
  <c r="V331" i="1" s="1"/>
  <c r="Y229" i="1"/>
  <c r="V229" i="1" s="1"/>
  <c r="Y33" i="1"/>
  <c r="V33" i="1" s="1"/>
  <c r="Y91" i="1"/>
  <c r="V91" i="1" s="1"/>
  <c r="Y124" i="1"/>
  <c r="V124" i="1" s="1"/>
  <c r="Y157" i="1"/>
  <c r="V157" i="1" s="1"/>
  <c r="J157" i="1" s="1"/>
  <c r="Y396" i="1"/>
  <c r="V396" i="1" s="1"/>
  <c r="Y347" i="1"/>
  <c r="V347" i="1" s="1"/>
  <c r="Y295" i="1"/>
  <c r="V295" i="1" s="1"/>
  <c r="Y357" i="1"/>
  <c r="V357" i="1" s="1"/>
  <c r="Y340" i="1"/>
  <c r="V340" i="1" s="1"/>
  <c r="Y323" i="1"/>
  <c r="V323" i="1" s="1"/>
  <c r="J323" i="1" s="1"/>
  <c r="Y307" i="1"/>
  <c r="V307" i="1" s="1"/>
  <c r="Y288" i="1"/>
  <c r="V288" i="1" s="1"/>
  <c r="Y272" i="1"/>
  <c r="V272" i="1" s="1"/>
  <c r="J272" i="1" s="1"/>
  <c r="Y254" i="1"/>
  <c r="V254" i="1" s="1"/>
  <c r="Y238" i="1"/>
  <c r="V238" i="1" s="1"/>
  <c r="Y222" i="1"/>
  <c r="V222" i="1" s="1"/>
  <c r="Y206" i="1"/>
  <c r="V206" i="1" s="1"/>
  <c r="Y190" i="1"/>
  <c r="V190" i="1" s="1"/>
  <c r="Y174" i="1"/>
  <c r="V174" i="1" s="1"/>
  <c r="Y24" i="1"/>
  <c r="V24" i="1" s="1"/>
  <c r="Y62" i="1"/>
  <c r="V62" i="1" s="1"/>
  <c r="Y67" i="1"/>
  <c r="V67" i="1" s="1"/>
  <c r="Y119" i="1"/>
  <c r="V119" i="1" s="1"/>
  <c r="Y153" i="1"/>
  <c r="V153" i="1" s="1"/>
  <c r="Y405" i="1"/>
  <c r="V405" i="1" s="1"/>
  <c r="Y371" i="1"/>
  <c r="V371" i="1" s="1"/>
  <c r="Y338" i="1"/>
  <c r="V338" i="1" s="1"/>
  <c r="Y305" i="1"/>
  <c r="V305" i="1" s="1"/>
  <c r="Y286" i="1"/>
  <c r="V286" i="1" s="1"/>
  <c r="H286" i="1" s="1"/>
  <c r="Y252" i="1"/>
  <c r="V252" i="1" s="1"/>
  <c r="Y236" i="1"/>
  <c r="V236" i="1" s="1"/>
  <c r="Y204" i="1"/>
  <c r="V204" i="1" s="1"/>
  <c r="Y188" i="1"/>
  <c r="V188" i="1" s="1"/>
  <c r="Y172" i="1"/>
  <c r="V172" i="1" s="1"/>
  <c r="Y19" i="1"/>
  <c r="V19" i="1" s="1"/>
  <c r="Y61" i="1"/>
  <c r="V61" i="1" s="1"/>
  <c r="Y82" i="1"/>
  <c r="V82" i="1" s="1"/>
  <c r="Y128" i="1"/>
  <c r="V128" i="1" s="1"/>
  <c r="Y152" i="1"/>
  <c r="V152" i="1" s="1"/>
  <c r="Y160" i="1"/>
  <c r="V160" i="1" s="1"/>
  <c r="Y386" i="1"/>
  <c r="V386" i="1" s="1"/>
  <c r="Y370" i="1"/>
  <c r="V370" i="1" s="1"/>
  <c r="Y337" i="1"/>
  <c r="V337" i="1" s="1"/>
  <c r="Y304" i="1"/>
  <c r="V304" i="1" s="1"/>
  <c r="Y269" i="1"/>
  <c r="V269" i="1" s="1"/>
  <c r="Y251" i="1"/>
  <c r="V251" i="1" s="1"/>
  <c r="Y235" i="1"/>
  <c r="V235" i="1" s="1"/>
  <c r="Y203" i="1"/>
  <c r="V203" i="1" s="1"/>
  <c r="I203" i="1" s="1"/>
  <c r="Y187" i="1"/>
  <c r="V187" i="1" s="1"/>
  <c r="Y93" i="1"/>
  <c r="V93" i="1" s="1"/>
  <c r="Y14" i="1"/>
  <c r="V14" i="1" s="1"/>
  <c r="Y60" i="1"/>
  <c r="V60" i="1" s="1"/>
  <c r="J60" i="1" s="1"/>
  <c r="Y81" i="1"/>
  <c r="V81" i="1" s="1"/>
  <c r="I81" i="1" s="1"/>
  <c r="Y117" i="1"/>
  <c r="V117" i="1" s="1"/>
  <c r="Y151" i="1"/>
  <c r="V151" i="1" s="1"/>
  <c r="Y403" i="1"/>
  <c r="V403" i="1" s="1"/>
  <c r="Y369" i="1"/>
  <c r="V369" i="1" s="1"/>
  <c r="Y353" i="1"/>
  <c r="V353" i="1" s="1"/>
  <c r="Y319" i="1"/>
  <c r="V319" i="1" s="1"/>
  <c r="H319" i="1" s="1"/>
  <c r="Y302" i="1"/>
  <c r="V302" i="1" s="1"/>
  <c r="I302" i="1" s="1"/>
  <c r="Y268" i="1"/>
  <c r="V268" i="1" s="1"/>
  <c r="J268" i="1" s="1"/>
  <c r="Y250" i="1"/>
  <c r="V250" i="1" s="1"/>
  <c r="Y234" i="1"/>
  <c r="V234" i="1" s="1"/>
  <c r="Y218" i="1"/>
  <c r="V218" i="1" s="1"/>
  <c r="Y202" i="1"/>
  <c r="V202" i="1" s="1"/>
  <c r="Y94" i="1"/>
  <c r="V94" i="1" s="1"/>
  <c r="Y30" i="1"/>
  <c r="V30" i="1" s="1"/>
  <c r="Y104" i="1"/>
  <c r="V104" i="1" s="1"/>
  <c r="Y64" i="1"/>
  <c r="V64" i="1" s="1"/>
  <c r="Y141" i="1"/>
  <c r="V141" i="1" s="1"/>
  <c r="Y170" i="1"/>
  <c r="V170" i="1" s="1"/>
  <c r="Y402" i="1"/>
  <c r="V402" i="1" s="1"/>
  <c r="Y368" i="1"/>
  <c r="V368" i="1" s="1"/>
  <c r="Y352" i="1"/>
  <c r="V352" i="1" s="1"/>
  <c r="Y301" i="1"/>
  <c r="V301" i="1" s="1"/>
  <c r="Y283" i="1"/>
  <c r="V283" i="1" s="1"/>
  <c r="Y266" i="1"/>
  <c r="V266" i="1" s="1"/>
  <c r="Y249" i="1"/>
  <c r="V249" i="1" s="1"/>
  <c r="Y217" i="1"/>
  <c r="V217" i="1" s="1"/>
  <c r="Y201" i="1"/>
  <c r="V201" i="1" s="1"/>
  <c r="Y185" i="1"/>
  <c r="V185" i="1" s="1"/>
  <c r="Y100" i="1"/>
  <c r="V100" i="1" s="1"/>
  <c r="Y38" i="1"/>
  <c r="V38" i="1" s="1"/>
  <c r="Y58" i="1"/>
  <c r="V58" i="1" s="1"/>
  <c r="Y79" i="1"/>
  <c r="V79" i="1" s="1"/>
  <c r="Y115" i="1"/>
  <c r="V115" i="1" s="1"/>
  <c r="Y149" i="1"/>
  <c r="V149" i="1" s="1"/>
  <c r="Y400" i="1"/>
  <c r="V400" i="1" s="1"/>
  <c r="Y383" i="1"/>
  <c r="V383" i="1" s="1"/>
  <c r="Y351" i="1"/>
  <c r="V351" i="1" s="1"/>
  <c r="Y317" i="1"/>
  <c r="V317" i="1" s="1"/>
  <c r="I317" i="1" s="1"/>
  <c r="Y282" i="1"/>
  <c r="V282" i="1" s="1"/>
  <c r="Y248" i="1"/>
  <c r="V248" i="1" s="1"/>
  <c r="Y232" i="1"/>
  <c r="V232" i="1" s="1"/>
  <c r="Y200" i="1"/>
  <c r="V200" i="1" s="1"/>
  <c r="Y37" i="1"/>
  <c r="V37" i="1" s="1"/>
  <c r="Y102" i="1"/>
  <c r="V102" i="1" s="1"/>
  <c r="Y36" i="1"/>
  <c r="V36" i="1" s="1"/>
  <c r="Y137" i="1"/>
  <c r="V137" i="1" s="1"/>
  <c r="Y148" i="1"/>
  <c r="V148" i="1" s="1"/>
  <c r="Y399" i="1"/>
  <c r="V399" i="1" s="1"/>
  <c r="Y366" i="1"/>
  <c r="V366" i="1" s="1"/>
  <c r="Y350" i="1"/>
  <c r="V350" i="1" s="1"/>
  <c r="Y316" i="1"/>
  <c r="V316" i="1" s="1"/>
  <c r="Y299" i="1"/>
  <c r="V299" i="1" s="1"/>
  <c r="Y281" i="1"/>
  <c r="V281" i="1" s="1"/>
  <c r="Y231" i="1"/>
  <c r="V231" i="1" s="1"/>
  <c r="Y98" i="1"/>
  <c r="V98" i="1" s="1"/>
  <c r="Y35" i="1"/>
  <c r="V35" i="1" s="1"/>
  <c r="J35" i="1" s="1"/>
  <c r="Y101" i="1"/>
  <c r="V101" i="1" s="1"/>
  <c r="Y31" i="1"/>
  <c r="V31" i="1" s="1"/>
  <c r="Y136" i="1"/>
  <c r="V136" i="1" s="1"/>
  <c r="Y167" i="1"/>
  <c r="V167" i="1" s="1"/>
  <c r="Y398" i="1"/>
  <c r="V398" i="1" s="1"/>
  <c r="Y365" i="1"/>
  <c r="V365" i="1" s="1"/>
  <c r="Y332" i="1"/>
  <c r="V332" i="1" s="1"/>
  <c r="I332" i="1" s="1"/>
  <c r="Y298" i="1"/>
  <c r="V298" i="1" s="1"/>
  <c r="Y280" i="1"/>
  <c r="V280" i="1" s="1"/>
  <c r="Y246" i="1"/>
  <c r="V246" i="1" s="1"/>
  <c r="Y230" i="1"/>
  <c r="V230" i="1" s="1"/>
  <c r="Y214" i="1"/>
  <c r="V214" i="1" s="1"/>
  <c r="Y198" i="1"/>
  <c r="V198" i="1" s="1"/>
  <c r="Y182" i="1"/>
  <c r="V182" i="1" s="1"/>
  <c r="H182" i="1" s="1"/>
  <c r="Y97" i="1"/>
  <c r="V97" i="1" s="1"/>
  <c r="Y34" i="1"/>
  <c r="V34" i="1" s="1"/>
  <c r="Y92" i="1"/>
  <c r="V92" i="1" s="1"/>
  <c r="Y76" i="1"/>
  <c r="V76" i="1" s="1"/>
  <c r="Y125" i="1"/>
  <c r="V125" i="1" s="1"/>
  <c r="Y135" i="1"/>
  <c r="V135" i="1" s="1"/>
  <c r="Y158" i="1"/>
  <c r="V158" i="1" s="1"/>
  <c r="Y397" i="1"/>
  <c r="V397" i="1" s="1"/>
  <c r="Y380" i="1"/>
  <c r="V380" i="1" s="1"/>
  <c r="Y348" i="1"/>
  <c r="V348" i="1" s="1"/>
  <c r="Y314" i="1"/>
  <c r="V314" i="1" s="1"/>
  <c r="Y297" i="1"/>
  <c r="V297" i="1" s="1"/>
  <c r="Y279" i="1"/>
  <c r="V279" i="1" s="1"/>
  <c r="Y261" i="1"/>
  <c r="V261" i="1" s="1"/>
  <c r="Y245" i="1"/>
  <c r="V245" i="1" s="1"/>
  <c r="Y213" i="1"/>
  <c r="V213" i="1" s="1"/>
  <c r="Y197" i="1"/>
  <c r="V197" i="1" s="1"/>
  <c r="Y181" i="1"/>
  <c r="V181" i="1" s="1"/>
  <c r="Y96" i="1"/>
  <c r="V96" i="1" s="1"/>
  <c r="H25" i="1"/>
  <c r="Y53" i="1"/>
  <c r="V53" i="1" s="1"/>
  <c r="Y75" i="1"/>
  <c r="V75" i="1" s="1"/>
  <c r="Y106" i="1"/>
  <c r="V106" i="1" s="1"/>
  <c r="Y134" i="1"/>
  <c r="V134" i="1" s="1"/>
  <c r="Y413" i="1"/>
  <c r="V413" i="1" s="1"/>
  <c r="Y379" i="1"/>
  <c r="V379" i="1" s="1"/>
  <c r="Y363" i="1"/>
  <c r="V363" i="1" s="1"/>
  <c r="Y330" i="1"/>
  <c r="V330" i="1" s="1"/>
  <c r="Y313" i="1"/>
  <c r="V313" i="1" s="1"/>
  <c r="Y278" i="1"/>
  <c r="V278" i="1" s="1"/>
  <c r="Y260" i="1"/>
  <c r="V260" i="1" s="1"/>
  <c r="Y244" i="1"/>
  <c r="V244" i="1" s="1"/>
  <c r="Y228" i="1"/>
  <c r="V228" i="1" s="1"/>
  <c r="Y212" i="1"/>
  <c r="V212" i="1" s="1"/>
  <c r="Y196" i="1"/>
  <c r="V196" i="1" s="1"/>
  <c r="Y180" i="1"/>
  <c r="V180" i="1" s="1"/>
  <c r="Y95" i="1"/>
  <c r="V95" i="1" s="1"/>
  <c r="Y32" i="1"/>
  <c r="V32" i="1" s="1"/>
  <c r="Y52" i="1"/>
  <c r="V52" i="1" s="1"/>
  <c r="Y90" i="1"/>
  <c r="V90" i="1" s="1"/>
  <c r="Y74" i="1"/>
  <c r="V74" i="1" s="1"/>
  <c r="Y107" i="1"/>
  <c r="V107" i="1" s="1"/>
  <c r="Y123" i="1"/>
  <c r="V123" i="1" s="1"/>
  <c r="Y133" i="1"/>
  <c r="V133" i="1" s="1"/>
  <c r="Y156" i="1"/>
  <c r="V156" i="1" s="1"/>
  <c r="Y412" i="1"/>
  <c r="V412" i="1" s="1"/>
  <c r="Y395" i="1"/>
  <c r="V395" i="1" s="1"/>
  <c r="Y378" i="1"/>
  <c r="V378" i="1" s="1"/>
  <c r="Y362" i="1"/>
  <c r="V362" i="1" s="1"/>
  <c r="Y346" i="1"/>
  <c r="V346" i="1" s="1"/>
  <c r="Y329" i="1"/>
  <c r="V329" i="1" s="1"/>
  <c r="Y312" i="1"/>
  <c r="V312" i="1" s="1"/>
  <c r="Y294" i="1"/>
  <c r="V294" i="1" s="1"/>
  <c r="Y277" i="1"/>
  <c r="V277" i="1" s="1"/>
  <c r="Y259" i="1"/>
  <c r="V259" i="1" s="1"/>
  <c r="Y243" i="1"/>
  <c r="V243" i="1" s="1"/>
  <c r="Y227" i="1"/>
  <c r="V227" i="1" s="1"/>
  <c r="H227" i="1" s="1"/>
  <c r="Y211" i="1"/>
  <c r="V211" i="1" s="1"/>
  <c r="Y195" i="1"/>
  <c r="V195" i="1" s="1"/>
  <c r="Y179" i="1"/>
  <c r="V179" i="1" s="1"/>
  <c r="I393" i="1"/>
  <c r="Y43" i="1"/>
  <c r="V43" i="1" s="1"/>
  <c r="Y50" i="1"/>
  <c r="V50" i="1" s="1"/>
  <c r="Y89" i="1"/>
  <c r="V89" i="1" s="1"/>
  <c r="Y73" i="1"/>
  <c r="V73" i="1" s="1"/>
  <c r="Y113" i="1"/>
  <c r="V113" i="1" s="1"/>
  <c r="H113" i="1" s="1"/>
  <c r="Y122" i="1"/>
  <c r="V122" i="1" s="1"/>
  <c r="Y147" i="1"/>
  <c r="V147" i="1" s="1"/>
  <c r="Y155" i="1"/>
  <c r="V155" i="1" s="1"/>
  <c r="Y411" i="1"/>
  <c r="V411" i="1" s="1"/>
  <c r="Y394" i="1"/>
  <c r="V394" i="1" s="1"/>
  <c r="Y377" i="1"/>
  <c r="V377" i="1" s="1"/>
  <c r="Y361" i="1"/>
  <c r="V361" i="1" s="1"/>
  <c r="Y345" i="1"/>
  <c r="V345" i="1" s="1"/>
  <c r="H345" i="1" s="1"/>
  <c r="Y327" i="1"/>
  <c r="V327" i="1" s="1"/>
  <c r="I327" i="1" s="1"/>
  <c r="Y311" i="1"/>
  <c r="V311" i="1" s="1"/>
  <c r="Y293" i="1"/>
  <c r="V293" i="1" s="1"/>
  <c r="Y276" i="1"/>
  <c r="V276" i="1" s="1"/>
  <c r="Y258" i="1"/>
  <c r="V258" i="1" s="1"/>
  <c r="Y242" i="1"/>
  <c r="V242" i="1" s="1"/>
  <c r="Y226" i="1"/>
  <c r="V226" i="1" s="1"/>
  <c r="Y210" i="1"/>
  <c r="V210" i="1" s="1"/>
  <c r="Y194" i="1"/>
  <c r="V194" i="1" s="1"/>
  <c r="Y178" i="1"/>
  <c r="V178" i="1" s="1"/>
  <c r="J393" i="1"/>
  <c r="Y42" i="1"/>
  <c r="V42" i="1" s="1"/>
  <c r="Y49" i="1"/>
  <c r="V49" i="1" s="1"/>
  <c r="Y88" i="1"/>
  <c r="V88" i="1" s="1"/>
  <c r="Y72" i="1"/>
  <c r="V72" i="1" s="1"/>
  <c r="Y112" i="1"/>
  <c r="V112" i="1" s="1"/>
  <c r="Y121" i="1"/>
  <c r="V121" i="1" s="1"/>
  <c r="Y146" i="1"/>
  <c r="V146" i="1" s="1"/>
  <c r="Y154" i="1"/>
  <c r="V154" i="1" s="1"/>
  <c r="Y410" i="1"/>
  <c r="V410" i="1" s="1"/>
  <c r="Y392" i="1"/>
  <c r="V392" i="1" s="1"/>
  <c r="Y376" i="1"/>
  <c r="V376" i="1" s="1"/>
  <c r="Y360" i="1"/>
  <c r="V360" i="1" s="1"/>
  <c r="Y344" i="1"/>
  <c r="V344" i="1" s="1"/>
  <c r="Y326" i="1"/>
  <c r="V326" i="1" s="1"/>
  <c r="Y310" i="1"/>
  <c r="V310" i="1" s="1"/>
  <c r="Y292" i="1"/>
  <c r="V292" i="1" s="1"/>
  <c r="Y275" i="1"/>
  <c r="V275" i="1" s="1"/>
  <c r="Y257" i="1"/>
  <c r="V257" i="1" s="1"/>
  <c r="Y241" i="1"/>
  <c r="V241" i="1" s="1"/>
  <c r="Y225" i="1"/>
  <c r="V225" i="1" s="1"/>
  <c r="Y209" i="1"/>
  <c r="V209" i="1" s="1"/>
  <c r="Y193" i="1"/>
  <c r="V193" i="1" s="1"/>
  <c r="Y177" i="1"/>
  <c r="V177" i="1" s="1"/>
  <c r="J177" i="1" s="1"/>
  <c r="Y40" i="1"/>
  <c r="V40" i="1" s="1"/>
  <c r="Y87" i="1"/>
  <c r="V87" i="1" s="1"/>
  <c r="Y71" i="1"/>
  <c r="V71" i="1" s="1"/>
  <c r="Y111" i="1"/>
  <c r="V111" i="1" s="1"/>
  <c r="Y120" i="1"/>
  <c r="V120" i="1" s="1"/>
  <c r="Y145" i="1"/>
  <c r="V145" i="1" s="1"/>
  <c r="Y165" i="1"/>
  <c r="V165" i="1" s="1"/>
  <c r="Y409" i="1"/>
  <c r="V409" i="1" s="1"/>
  <c r="Y391" i="1"/>
  <c r="V391" i="1" s="1"/>
  <c r="Y375" i="1"/>
  <c r="V375" i="1" s="1"/>
  <c r="Y359" i="1"/>
  <c r="V359" i="1" s="1"/>
  <c r="Y343" i="1"/>
  <c r="V343" i="1" s="1"/>
  <c r="H343" i="1" s="1"/>
  <c r="Y325" i="1"/>
  <c r="V325" i="1" s="1"/>
  <c r="Y309" i="1"/>
  <c r="V309" i="1" s="1"/>
  <c r="Y291" i="1"/>
  <c r="V291" i="1" s="1"/>
  <c r="Y274" i="1"/>
  <c r="V274" i="1" s="1"/>
  <c r="Y256" i="1"/>
  <c r="V256" i="1" s="1"/>
  <c r="Y240" i="1"/>
  <c r="V240" i="1" s="1"/>
  <c r="Y224" i="1"/>
  <c r="V224" i="1" s="1"/>
  <c r="Y208" i="1"/>
  <c r="V208" i="1" s="1"/>
  <c r="Y192" i="1"/>
  <c r="V192" i="1" s="1"/>
  <c r="Y176" i="1"/>
  <c r="V176" i="1" s="1"/>
  <c r="Y39" i="1"/>
  <c r="V39" i="1" s="1"/>
  <c r="Y46" i="1"/>
  <c r="V46" i="1" s="1"/>
  <c r="Y86" i="1"/>
  <c r="V86" i="1" s="1"/>
  <c r="Y70" i="1"/>
  <c r="V70" i="1" s="1"/>
  <c r="Y110" i="1"/>
  <c r="V110" i="1" s="1"/>
  <c r="Y132" i="1"/>
  <c r="V132" i="1" s="1"/>
  <c r="Y144" i="1"/>
  <c r="V144" i="1" s="1"/>
  <c r="Y164" i="1"/>
  <c r="V164" i="1" s="1"/>
  <c r="H164" i="1" s="1"/>
  <c r="Y408" i="1"/>
  <c r="V408" i="1" s="1"/>
  <c r="Y390" i="1"/>
  <c r="V390" i="1" s="1"/>
  <c r="Y374" i="1"/>
  <c r="V374" i="1" s="1"/>
  <c r="Y358" i="1"/>
  <c r="V358" i="1" s="1"/>
  <c r="Y342" i="1"/>
  <c r="V342" i="1" s="1"/>
  <c r="Y324" i="1"/>
  <c r="V324" i="1" s="1"/>
  <c r="Y308" i="1"/>
  <c r="V308" i="1" s="1"/>
  <c r="Y290" i="1"/>
  <c r="V290" i="1" s="1"/>
  <c r="H290" i="1" s="1"/>
  <c r="Y273" i="1"/>
  <c r="V273" i="1" s="1"/>
  <c r="Y255" i="1"/>
  <c r="V255" i="1" s="1"/>
  <c r="H255" i="1" s="1"/>
  <c r="Y239" i="1"/>
  <c r="V239" i="1" s="1"/>
  <c r="Y223" i="1"/>
  <c r="V223" i="1" s="1"/>
  <c r="Y207" i="1"/>
  <c r="V207" i="1" s="1"/>
  <c r="Y191" i="1"/>
  <c r="V191" i="1" s="1"/>
  <c r="Y175" i="1"/>
  <c r="V175" i="1" s="1"/>
  <c r="H175" i="1" s="1"/>
  <c r="Y48" i="1"/>
  <c r="V48" i="1" s="1"/>
  <c r="Y51" i="1"/>
  <c r="V51" i="1" s="1"/>
  <c r="Y85" i="1"/>
  <c r="V85" i="1" s="1"/>
  <c r="Y69" i="1"/>
  <c r="V69" i="1" s="1"/>
  <c r="Y109" i="1"/>
  <c r="V109" i="1" s="1"/>
  <c r="Y131" i="1"/>
  <c r="V131" i="1" s="1"/>
  <c r="Y143" i="1"/>
  <c r="V143" i="1" s="1"/>
  <c r="Y163" i="1"/>
  <c r="V163" i="1" s="1"/>
  <c r="I163" i="1" s="1"/>
  <c r="Y407" i="1"/>
  <c r="V407" i="1" s="1"/>
  <c r="Y389" i="1"/>
  <c r="V389" i="1" s="1"/>
  <c r="I389" i="1" s="1"/>
  <c r="Y373" i="1"/>
  <c r="V373" i="1" s="1"/>
  <c r="Y29" i="1"/>
  <c r="V29" i="1" s="1"/>
  <c r="Y47" i="1"/>
  <c r="V47" i="1" s="1"/>
  <c r="Y56" i="1"/>
  <c r="V56" i="1" s="1"/>
  <c r="Y84" i="1"/>
  <c r="V84" i="1" s="1"/>
  <c r="Y68" i="1"/>
  <c r="V68" i="1" s="1"/>
  <c r="Y108" i="1"/>
  <c r="V108" i="1" s="1"/>
  <c r="Y130" i="1"/>
  <c r="V130" i="1" s="1"/>
  <c r="H130" i="1" s="1"/>
  <c r="Y142" i="1"/>
  <c r="V142" i="1" s="1"/>
  <c r="Y162" i="1"/>
  <c r="V162" i="1" s="1"/>
  <c r="Y406" i="1"/>
  <c r="V406" i="1" s="1"/>
  <c r="Y388" i="1"/>
  <c r="V388" i="1" s="1"/>
  <c r="Y372" i="1"/>
  <c r="V372" i="1" s="1"/>
  <c r="Y356" i="1"/>
  <c r="V356" i="1" s="1"/>
  <c r="Y339" i="1"/>
  <c r="V339" i="1" s="1"/>
  <c r="Y322" i="1"/>
  <c r="V322" i="1" s="1"/>
  <c r="Y306" i="1"/>
  <c r="V306" i="1" s="1"/>
  <c r="Y287" i="1"/>
  <c r="V287" i="1" s="1"/>
  <c r="Y271" i="1"/>
  <c r="V271" i="1" s="1"/>
  <c r="Y253" i="1"/>
  <c r="V253" i="1" s="1"/>
  <c r="Y237" i="1"/>
  <c r="V237" i="1" s="1"/>
  <c r="Y221" i="1"/>
  <c r="V221" i="1" s="1"/>
  <c r="Y205" i="1"/>
  <c r="V205" i="1" s="1"/>
  <c r="Y189" i="1"/>
  <c r="V189" i="1" s="1"/>
  <c r="Y173" i="1"/>
  <c r="V173" i="1" s="1"/>
  <c r="I23" i="1"/>
  <c r="J85" i="1"/>
  <c r="H20" i="1"/>
  <c r="J28" i="1"/>
  <c r="J20" i="1"/>
  <c r="J17" i="1"/>
  <c r="I28" i="1"/>
  <c r="I17" i="1"/>
  <c r="W9" i="1"/>
  <c r="V9" i="1"/>
  <c r="W4" i="2"/>
  <c r="U3" i="2"/>
  <c r="T3" i="2"/>
  <c r="N10" i="2"/>
  <c r="O10" i="2"/>
  <c r="N5" i="2"/>
  <c r="O5" i="2"/>
  <c r="N4" i="2"/>
  <c r="O4" i="2"/>
  <c r="O3" i="2"/>
  <c r="N3" i="2"/>
  <c r="N7" i="2"/>
  <c r="O7" i="2"/>
  <c r="N6" i="2"/>
  <c r="O6" i="2"/>
  <c r="N8" i="2"/>
  <c r="O8" i="2"/>
  <c r="F4" i="2"/>
  <c r="R4" i="2" s="1"/>
  <c r="F8" i="2"/>
  <c r="R8" i="2" s="1"/>
  <c r="F6" i="2"/>
  <c r="R6" i="2" s="1"/>
  <c r="F10" i="2"/>
  <c r="R10" i="2" s="1"/>
  <c r="F7" i="2"/>
  <c r="R7" i="2" s="1"/>
  <c r="F5" i="2"/>
  <c r="R5" i="2" s="1"/>
  <c r="F3" i="2"/>
  <c r="R3" i="2" s="1"/>
  <c r="J286" i="1" l="1"/>
  <c r="I182" i="1"/>
  <c r="J163" i="1"/>
  <c r="H163" i="1"/>
  <c r="I113" i="1"/>
  <c r="J345" i="1"/>
  <c r="I345" i="1"/>
  <c r="J77" i="1"/>
  <c r="I245" i="1"/>
  <c r="J245" i="1"/>
  <c r="H245" i="1"/>
  <c r="I370" i="1"/>
  <c r="H370" i="1"/>
  <c r="J370" i="1"/>
  <c r="H325" i="1"/>
  <c r="I325" i="1"/>
  <c r="J325" i="1"/>
  <c r="I90" i="1"/>
  <c r="H90" i="1"/>
  <c r="J90" i="1"/>
  <c r="I100" i="1"/>
  <c r="J100" i="1"/>
  <c r="H100" i="1"/>
  <c r="I164" i="1"/>
  <c r="I130" i="1"/>
  <c r="J164" i="1"/>
  <c r="I319" i="1"/>
  <c r="H157" i="1"/>
  <c r="J113" i="1"/>
  <c r="I177" i="1"/>
  <c r="J290" i="1"/>
  <c r="H177" i="1"/>
  <c r="I286" i="1"/>
  <c r="I290" i="1"/>
  <c r="J265" i="1"/>
  <c r="J319" i="1"/>
  <c r="I87" i="1"/>
  <c r="J87" i="1"/>
  <c r="H87" i="1"/>
  <c r="J259" i="1"/>
  <c r="H259" i="1"/>
  <c r="I259" i="1"/>
  <c r="H392" i="1"/>
  <c r="I392" i="1"/>
  <c r="J392" i="1"/>
  <c r="J128" i="1"/>
  <c r="H128" i="1"/>
  <c r="I128" i="1"/>
  <c r="J169" i="1"/>
  <c r="H169" i="1"/>
  <c r="I169" i="1"/>
  <c r="J218" i="1"/>
  <c r="H218" i="1"/>
  <c r="I218" i="1"/>
  <c r="H67" i="1"/>
  <c r="J67" i="1"/>
  <c r="I67" i="1"/>
  <c r="H357" i="1"/>
  <c r="I357" i="1"/>
  <c r="J357" i="1"/>
  <c r="J106" i="1"/>
  <c r="I106" i="1"/>
  <c r="H106" i="1"/>
  <c r="J50" i="1"/>
  <c r="H50" i="1"/>
  <c r="I50" i="1"/>
  <c r="H43" i="1"/>
  <c r="J43" i="1"/>
  <c r="I43" i="1"/>
  <c r="H125" i="1"/>
  <c r="J125" i="1"/>
  <c r="I125" i="1"/>
  <c r="J179" i="1"/>
  <c r="H179" i="1"/>
  <c r="I179" i="1"/>
  <c r="H141" i="1"/>
  <c r="I141" i="1"/>
  <c r="J141" i="1"/>
  <c r="H254" i="1"/>
  <c r="J254" i="1"/>
  <c r="I254" i="1"/>
  <c r="J215" i="1"/>
  <c r="I215" i="1"/>
  <c r="H215" i="1"/>
  <c r="H40" i="1"/>
  <c r="J40" i="1"/>
  <c r="I40" i="1"/>
  <c r="H152" i="1"/>
  <c r="I152" i="1"/>
  <c r="J152" i="1"/>
  <c r="H247" i="1"/>
  <c r="I247" i="1"/>
  <c r="J247" i="1"/>
  <c r="H191" i="1"/>
  <c r="I191" i="1"/>
  <c r="J191" i="1"/>
  <c r="H230" i="1"/>
  <c r="I230" i="1"/>
  <c r="J230" i="1"/>
  <c r="I119" i="1"/>
  <c r="J119" i="1"/>
  <c r="H119" i="1"/>
  <c r="I207" i="1"/>
  <c r="J207" i="1"/>
  <c r="H207" i="1"/>
  <c r="I246" i="1"/>
  <c r="H246" i="1"/>
  <c r="J246" i="1"/>
  <c r="H70" i="1"/>
  <c r="I70" i="1"/>
  <c r="J70" i="1"/>
  <c r="H75" i="1"/>
  <c r="J75" i="1"/>
  <c r="I75" i="1"/>
  <c r="I391" i="1"/>
  <c r="J391" i="1"/>
  <c r="H391" i="1"/>
  <c r="J96" i="1"/>
  <c r="I96" i="1"/>
  <c r="H96" i="1"/>
  <c r="H149" i="1"/>
  <c r="I149" i="1"/>
  <c r="J149" i="1"/>
  <c r="H252" i="1"/>
  <c r="I252" i="1"/>
  <c r="J252" i="1"/>
  <c r="H388" i="1"/>
  <c r="J388" i="1"/>
  <c r="I388" i="1"/>
  <c r="H170" i="1"/>
  <c r="I170" i="1"/>
  <c r="J170" i="1"/>
  <c r="H33" i="1"/>
  <c r="J33" i="1"/>
  <c r="I33" i="1"/>
  <c r="I111" i="1"/>
  <c r="H111" i="1"/>
  <c r="J111" i="1"/>
  <c r="I313" i="1"/>
  <c r="J313" i="1"/>
  <c r="H313" i="1"/>
  <c r="J151" i="1"/>
  <c r="H151" i="1"/>
  <c r="I151" i="1"/>
  <c r="H80" i="1"/>
  <c r="J80" i="1"/>
  <c r="I80" i="1"/>
  <c r="H185" i="1"/>
  <c r="J185" i="1"/>
  <c r="I185" i="1"/>
  <c r="I297" i="1"/>
  <c r="H297" i="1"/>
  <c r="J297" i="1"/>
  <c r="H264" i="1"/>
  <c r="J264" i="1"/>
  <c r="I264" i="1"/>
  <c r="I253" i="1"/>
  <c r="H253" i="1"/>
  <c r="J253" i="1"/>
  <c r="H139" i="1"/>
  <c r="J139" i="1"/>
  <c r="I139" i="1"/>
  <c r="H280" i="1"/>
  <c r="I280" i="1"/>
  <c r="J280" i="1"/>
  <c r="I293" i="1"/>
  <c r="J293" i="1"/>
  <c r="H293" i="1"/>
  <c r="H387" i="1"/>
  <c r="J387" i="1"/>
  <c r="I387" i="1"/>
  <c r="H372" i="1"/>
  <c r="J372" i="1"/>
  <c r="I372" i="1"/>
  <c r="H131" i="1"/>
  <c r="I131" i="1"/>
  <c r="J131" i="1"/>
  <c r="I109" i="1"/>
  <c r="H109" i="1"/>
  <c r="J109" i="1"/>
  <c r="H224" i="1"/>
  <c r="J224" i="1"/>
  <c r="I224" i="1"/>
  <c r="J411" i="1"/>
  <c r="I411" i="1"/>
  <c r="H411" i="1"/>
  <c r="H261" i="1"/>
  <c r="I261" i="1"/>
  <c r="J261" i="1"/>
  <c r="H117" i="1"/>
  <c r="J117" i="1"/>
  <c r="I117" i="1"/>
  <c r="I404" i="1"/>
  <c r="J404" i="1"/>
  <c r="H404" i="1"/>
  <c r="H76" i="1"/>
  <c r="I76" i="1"/>
  <c r="J76" i="1"/>
  <c r="I102" i="1"/>
  <c r="J102" i="1"/>
  <c r="I249" i="1"/>
  <c r="J249" i="1"/>
  <c r="J30" i="1"/>
  <c r="I30" i="1"/>
  <c r="H30" i="1"/>
  <c r="H65" i="1"/>
  <c r="I65" i="1"/>
  <c r="I221" i="1"/>
  <c r="J221" i="1"/>
  <c r="H221" i="1"/>
  <c r="H194" i="1"/>
  <c r="I194" i="1"/>
  <c r="I338" i="1"/>
  <c r="J338" i="1"/>
  <c r="H63" i="1"/>
  <c r="J63" i="1"/>
  <c r="I63" i="1"/>
  <c r="H94" i="1"/>
  <c r="J94" i="1"/>
  <c r="I94" i="1"/>
  <c r="I321" i="1"/>
  <c r="H321" i="1"/>
  <c r="J389" i="1"/>
  <c r="H389" i="1"/>
  <c r="J321" i="1"/>
  <c r="H121" i="1"/>
  <c r="J121" i="1"/>
  <c r="I121" i="1"/>
  <c r="H338" i="1"/>
  <c r="H352" i="1"/>
  <c r="I352" i="1"/>
  <c r="H183" i="1"/>
  <c r="I348" i="1"/>
  <c r="J348" i="1"/>
  <c r="H348" i="1"/>
  <c r="H38" i="1"/>
  <c r="I38" i="1"/>
  <c r="J38" i="1"/>
  <c r="H248" i="1"/>
  <c r="I248" i="1"/>
  <c r="J248" i="1"/>
  <c r="I157" i="1"/>
  <c r="I227" i="1"/>
  <c r="J227" i="1"/>
  <c r="H317" i="1"/>
  <c r="J317" i="1"/>
  <c r="H60" i="1"/>
  <c r="I60" i="1"/>
  <c r="I175" i="1"/>
  <c r="H249" i="1"/>
  <c r="H102" i="1"/>
  <c r="J332" i="1"/>
  <c r="J175" i="1"/>
  <c r="H268" i="1"/>
  <c r="I268" i="1"/>
  <c r="I307" i="1"/>
  <c r="J307" i="1"/>
  <c r="I265" i="1"/>
  <c r="J130" i="1"/>
  <c r="H307" i="1"/>
  <c r="H35" i="1"/>
  <c r="I35" i="1"/>
  <c r="I323" i="1"/>
  <c r="H323" i="1"/>
  <c r="J182" i="1"/>
  <c r="I77" i="1"/>
  <c r="H85" i="1"/>
  <c r="I85" i="1"/>
  <c r="H327" i="1"/>
  <c r="J327" i="1"/>
  <c r="H98" i="1"/>
  <c r="I98" i="1"/>
  <c r="J98" i="1"/>
  <c r="I334" i="1"/>
  <c r="H334" i="1"/>
  <c r="I97" i="1"/>
  <c r="H97" i="1"/>
  <c r="J97" i="1"/>
  <c r="I105" i="1"/>
  <c r="J105" i="1"/>
  <c r="J194" i="1"/>
  <c r="H203" i="1"/>
  <c r="J203" i="1"/>
  <c r="I55" i="1"/>
  <c r="J183" i="1"/>
  <c r="J352" i="1"/>
  <c r="J397" i="1"/>
  <c r="I397" i="1"/>
  <c r="H397" i="1"/>
  <c r="J81" i="1"/>
  <c r="H81" i="1"/>
  <c r="H336" i="1"/>
  <c r="J336" i="1"/>
  <c r="I181" i="1"/>
  <c r="H181" i="1"/>
  <c r="J181" i="1"/>
  <c r="I272" i="1"/>
  <c r="H272" i="1"/>
  <c r="J55" i="1"/>
  <c r="I255" i="1"/>
  <c r="J255" i="1"/>
  <c r="I158" i="1"/>
  <c r="H158" i="1"/>
  <c r="J158" i="1"/>
  <c r="J209" i="1"/>
  <c r="I209" i="1"/>
  <c r="H209" i="1"/>
  <c r="H363" i="1"/>
  <c r="J363" i="1"/>
  <c r="I363" i="1"/>
  <c r="H105" i="1"/>
  <c r="J302" i="1"/>
  <c r="H302" i="1"/>
  <c r="I300" i="1"/>
  <c r="J300" i="1"/>
  <c r="I45" i="1"/>
  <c r="H45" i="1"/>
  <c r="J45" i="1"/>
  <c r="H332" i="1"/>
  <c r="H133" i="2"/>
  <c r="H146" i="2"/>
  <c r="H124" i="2"/>
  <c r="H158" i="2"/>
  <c r="H153" i="2"/>
  <c r="H147" i="2"/>
  <c r="H151" i="2"/>
  <c r="H154" i="2"/>
  <c r="H159" i="2"/>
  <c r="H155" i="2"/>
  <c r="V3" i="2"/>
  <c r="R15" i="2"/>
  <c r="J3" i="2" s="1"/>
  <c r="E1" i="3" s="1"/>
  <c r="H108" i="2" l="1"/>
  <c r="H127" i="2"/>
  <c r="H143" i="2"/>
  <c r="H144" i="2"/>
  <c r="H105" i="2"/>
  <c r="H104" i="2"/>
  <c r="H132" i="2"/>
  <c r="H116" i="2"/>
  <c r="H110" i="2"/>
  <c r="H130" i="2"/>
  <c r="H123" i="2"/>
  <c r="H114" i="2"/>
  <c r="H138" i="2"/>
  <c r="H109" i="2"/>
  <c r="H135" i="2"/>
  <c r="H142" i="2"/>
  <c r="H156" i="2"/>
  <c r="J5" i="2"/>
  <c r="G1" i="3" s="1"/>
  <c r="B1" i="3"/>
  <c r="H100" i="2"/>
  <c r="H111" i="2"/>
  <c r="H119" i="2"/>
  <c r="H101" i="2"/>
  <c r="H149" i="2"/>
  <c r="H128" i="2"/>
  <c r="H122" i="2"/>
  <c r="H98" i="2" l="1"/>
  <c r="H118" i="2"/>
  <c r="H145" i="2"/>
  <c r="H102" i="2"/>
  <c r="H126" i="2"/>
  <c r="H152" i="2"/>
  <c r="H107" i="2"/>
  <c r="H148" i="2"/>
  <c r="H112" i="2"/>
  <c r="H94" i="2"/>
  <c r="I94" i="2" s="1"/>
  <c r="H113" i="2"/>
  <c r="H121" i="2"/>
  <c r="H137" i="2"/>
  <c r="H99" i="2"/>
  <c r="H125" i="2"/>
  <c r="H115" i="2"/>
  <c r="H95" i="2"/>
  <c r="H96" i="2"/>
  <c r="H136" i="2"/>
  <c r="H120" i="2"/>
  <c r="H131" i="2"/>
  <c r="D22" i="2"/>
  <c r="E2" i="4" s="1"/>
  <c r="B2" i="5" s="1"/>
  <c r="F22" i="2"/>
  <c r="E1" i="4" s="1"/>
  <c r="B1" i="5" s="1"/>
  <c r="H97" i="2"/>
  <c r="H106" i="2"/>
  <c r="H150" i="2"/>
  <c r="G18" i="2"/>
  <c r="H103" i="2"/>
  <c r="A1" i="3"/>
  <c r="H157" i="2"/>
  <c r="H139" i="2"/>
  <c r="H117" i="2"/>
  <c r="B22" i="2"/>
  <c r="E3" i="4" s="1"/>
  <c r="B3" i="5" s="1"/>
  <c r="H134" i="2"/>
  <c r="H141" i="2"/>
  <c r="H129" i="2"/>
  <c r="H140" i="2"/>
  <c r="F2" i="4" l="1"/>
  <c r="C2" i="5" s="1"/>
  <c r="F3" i="4"/>
  <c r="C3" i="5" s="1"/>
  <c r="R25" i="2"/>
  <c r="S25" i="2" s="1"/>
  <c r="F1" i="4"/>
  <c r="C1" i="5" s="1"/>
  <c r="R26" i="2"/>
  <c r="S26" i="2" s="1"/>
  <c r="R27" i="2"/>
  <c r="S2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7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<sst xmlns="http://schemas.openxmlformats.org/spreadsheetml/2006/main" count="1618" uniqueCount="300">
  <si>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</si>
  <si>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</si>
  <si>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</si>
  <si>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</si>
  <si>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</si>
  <si>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</si>
  <si>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</si>
  <si>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</si>
  <si>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</si>
  <si>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</si>
  <si>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</si>
  <si>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</si>
  <si>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</si>
  <si>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</si>
  <si>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</si>
  <si>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</si>
  <si>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</si>
  <si>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</si>
  <si>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</si>
  <si>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</si>
  <si>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</si>
  <si>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</si>
  <si>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</si>
  <si>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</si>
  <si>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</si>
  <si>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</si>
  <si>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</si>
  <si>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</si>
  <si>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</si>
  <si>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</si>
  <si>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</si>
  <si>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</si>
  <si>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</si>
  <si>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</si>
  <si>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</si>
  <si>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</si>
  <si>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</si>
  <si>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</si>
  <si>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</si>
  <si>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</si>
  <si>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</si>
  <si>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</si>
  <si>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</si>
  <si>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</si>
  <si>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</si>
  <si>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</si>
  <si>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</si>
  <si>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</si>
  <si>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</si>
  <si>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</si>
  <si>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</si>
  <si>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</si>
  <si>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</si>
  <si>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</si>
  <si>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</si>
  <si>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</si>
  <si>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</si>
  <si>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</si>
  <si>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</si>
  <si>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</si>
  <si>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</si>
  <si>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</si>
  <si>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</si>
  <si>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</si>
  <si>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</si>
  <si>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</si>
  <si>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</si>
  <si>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</si>
  <si>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</si>
  <si>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</si>
  <si>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</si>
  <si>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</si>
  <si>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</si>
  <si>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</si>
  <si>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</si>
  <si>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</si>
  <si>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</si>
  <si>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</si>
  <si>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</si>
  <si>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</si>
  <si>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</si>
  <si>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</si>
  <si>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</si>
  <si>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</si>
  <si>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</si>
  <si>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</si>
  <si>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</si>
  <si>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</si>
  <si>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</si>
  <si>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</si>
  <si>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</si>
  <si>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</si>
  <si>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</si>
  <si>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</si>
  <si>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</si>
  <si>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</si>
  <si>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</si>
  <si>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</si>
  <si>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</si>
  <si>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</si>
  <si>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</si>
  <si>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</si>
  <si>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</si>
  <si>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</si>
  <si>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</si>
  <si>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</si>
  <si>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</si>
  <si>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</si>
  <si>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</si>
  <si>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</si>
  <si>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</si>
  <si>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</si>
  <si>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</si>
  <si>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</si>
  <si>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</si>
  <si>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</si>
  <si>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</si>
  <si>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</si>
  <si>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</si>
  <si>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</si>
  <si>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</si>
  <si>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</si>
  <si>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</si>
  <si>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</si>
  <si>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</si>
  <si>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</si>
  <si>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</si>
  <si>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</si>
  <si>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</si>
  <si>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</si>
  <si>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</si>
  <si>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</si>
  <si>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</si>
  <si>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</si>
  <si>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</si>
  <si>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</si>
  <si>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</si>
  <si>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</si>
  <si>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</si>
  <si>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</si>
  <si>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</si>
  <si>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</si>
  <si>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</si>
  <si>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</si>
  <si>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</si>
  <si>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</si>
  <si>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</si>
  <si>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</si>
  <si>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</si>
  <si>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</si>
  <si>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</si>
  <si>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</si>
  <si>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</si>
  <si>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</si>
  <si>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</si>
  <si>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</si>
  <si>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</si>
  <si>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</si>
  <si>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</si>
  <si>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</si>
  <si>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</si>
  <si>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</si>
  <si>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</si>
  <si>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</si>
  <si>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</si>
  <si>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</si>
  <si>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</si>
  <si>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</si>
  <si>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</si>
  <si>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</si>
  <si>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</si>
  <si>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</si>
  <si>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</si>
  <si>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</si>
  <si>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</si>
  <si>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</si>
  <si>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Khrone EFMS. Have data collection ?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</si>
  <si>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</si>
  <si>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</si>
  <si>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</si>
  <si>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</si>
  <si>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</si>
  <si>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</si>
  <si>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</si>
  <si>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</si>
  <si>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</si>
  <si>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</si>
  <si>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</si>
  <si>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</si>
  <si>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</si>
  <si>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</si>
  <si>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</si>
  <si>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</si>
  <si>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</si>
  <si>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</si>
  <si>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 xml:space="preserve">       Best Savings    →</t>
  </si>
  <si>
    <t xml:space="preserve">       Best Vessel      →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</si>
  <si>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</si>
  <si>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</si>
  <si>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</si>
  <si>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</si>
  <si>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</si>
  <si>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</si>
  <si>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</si>
  <si>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</si>
  <si>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</si>
  <si>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</si>
  <si>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</si>
  <si>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</si>
  <si>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</si>
  <si>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</si>
  <si>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</si>
  <si>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</si>
  <si>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</si>
  <si>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</si>
  <si>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</si>
  <si>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</si>
  <si>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</si>
  <si>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</si>
  <si>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</si>
  <si>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</si>
  <si>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</si>
  <si>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</si>
  <si>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</si>
  <si>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</si>
  <si>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</si>
  <si>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</si>
  <si>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</si>
  <si>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</si>
  <si>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</si>
  <si>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</si>
  <si>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</si>
  <si>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</si>
  <si>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</si>
  <si>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</si>
  <si>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</si>
  <si>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</si>
  <si>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</si>
  <si>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</si>
  <si>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</si>
  <si>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</si>
  <si>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</si>
  <si>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</si>
  <si>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</si>
  <si>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</si>
  <si>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</si>
  <si>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</si>
  <si>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</si>
  <si>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</si>
  <si>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</si>
  <si>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</si>
  <si>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</si>
  <si>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</si>
  <si>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</si>
  <si>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</si>
  <si>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</si>
  <si>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</si>
  <si>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</si>
  <si>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</si>
  <si>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</si>
  <si>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</si>
  <si>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</si>
  <si>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</si>
  <si>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</si>
  <si>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</si>
  <si>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</si>
  <si>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</si>
  <si>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</si>
  <si>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</si>
  <si>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</si>
  <si>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</si>
  <si>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</si>
  <si>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</si>
  <si>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</si>
  <si>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</si>
  <si>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</si>
  <si>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</si>
  <si>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</si>
  <si>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</si>
  <si>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</si>
  <si>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</si>
  <si>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</si>
  <si>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</si>
  <si>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</si>
  <si>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1, 3</t>
  </si>
  <si>
    <t>Scope 1</t>
  </si>
  <si>
    <t>Deva Paint</t>
  </si>
  <si>
    <t>POC OK</t>
  </si>
  <si>
    <t>EFMS not using Monitor</t>
  </si>
  <si>
    <t>EFMS Ascenz GEN E KIT</t>
  </si>
  <si>
    <t>Custom ligne (a)</t>
  </si>
  <si>
    <t>BOS Dominance</t>
  </si>
  <si>
    <t>BOS Dignity</t>
  </si>
  <si>
    <t>712 sqm</t>
  </si>
  <si>
    <t>713 sqm</t>
  </si>
  <si>
    <t>Silicon Hempel X7</t>
  </si>
  <si>
    <t>Scope 3</t>
  </si>
  <si>
    <t>Scope 3 Expected Savings/year</t>
  </si>
  <si>
    <t>Scope 1 Expected Savings/year</t>
  </si>
  <si>
    <t>EXPECTED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</si>
</sst>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9" fontId="0" fillId="0" borderId="0" xfId="2" applyFont="1"/>
    <xf numFmtId="2" fontId="0" fillId="0" borderId="0" xfId="0" applyNumberFormat="1"/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Summary!$A$93:$A$102</c:f>
              <c:strCache>
                <c:ptCount val="10"/>
                <c:pt idx="0">
                  <c:v>BOS Defiance</c:v>
                </c:pt>
                <c:pt idx="1">
                  <c:v>Britoil 81</c:v>
                </c:pt>
                <c:pt idx="2">
                  <c:v>Britoil 41</c:v>
                </c:pt>
                <c:pt idx="3">
                  <c:v>BOS Champion</c:v>
                </c:pt>
                <c:pt idx="4">
                  <c:v>Britoil Journey</c:v>
                </c:pt>
                <c:pt idx="5">
                  <c:v>BOS Princess</c:v>
                </c:pt>
                <c:pt idx="6">
                  <c:v>Britoil 72</c:v>
                </c:pt>
                <c:pt idx="7">
                  <c:v>BOS Ares</c:v>
                </c:pt>
                <c:pt idx="8">
                  <c:v>BOS Prince</c:v>
                </c:pt>
                <c:pt idx="9">
                  <c:v>BOS Patience</c:v>
                </c:pt>
              </c:strCache>
            </c:strRef>
          </c:cat>
          <c:val>
            <c:numRef>
              <c:f>Summary!$B$93:$B$102</c:f>
              <c:numCache>
                <c:formatCode>"$"#,##0</c:formatCode>
                <c:ptCount val="10"/>
                <c:pt idx="0">
                  <c:v>59087.095567608005</c:v>
                </c:pt>
                <c:pt idx="1">
                  <c:v>43658.163456143637</c:v>
                </c:pt>
                <c:pt idx="2">
                  <c:v>37960</c:v>
                </c:pt>
                <c:pt idx="3">
                  <c:v>43830.14774639986</c:v>
                </c:pt>
                <c:pt idx="4">
                  <c:v>37000</c:v>
                </c:pt>
                <c:pt idx="5">
                  <c:v>34900</c:v>
                </c:pt>
                <c:pt idx="6">
                  <c:v>33502.898821769217</c:v>
                </c:pt>
                <c:pt idx="7">
                  <c:v>30533.196184776505</c:v>
                </c:pt>
                <c:pt idx="8">
                  <c:v>28900</c:v>
                </c:pt>
                <c:pt idx="9">
                  <c:v>27529.105105666731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(Summary!$A$22,Summary!$C$22,Summary!$E$22)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(Summary!$B$22,Summary!$D$22,Summary!$F$22)</c:f>
              <c:numCache>
                <c:formatCode>"$"#,##0</c:formatCode>
                <c:ptCount val="3"/>
                <c:pt idx="0">
                  <c:v>544563.75818215811</c:v>
                </c:pt>
                <c:pt idx="1">
                  <c:v>309455.44697961473</c:v>
                </c:pt>
                <c:pt idx="2">
                  <c:v>360133.57490181411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6-489F-BAA0-D8B855298D41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Summary!$A$3:$A$11</c:f>
              <c:strCache>
                <c:ptCount val="9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Deva Paint</c:v>
                </c:pt>
                <c:pt idx="7">
                  <c:v>AI CCTV</c:v>
                </c:pt>
                <c:pt idx="8">
                  <c:v>Nautilus Log</c:v>
                </c:pt>
              </c:strCache>
            </c:strRef>
          </c:cat>
          <c:val>
            <c:numRef>
              <c:f>Summary!$N$3:$N$11</c:f>
              <c:numCache>
                <c:formatCode>General</c:formatCode>
                <c:ptCount val="9"/>
                <c:pt idx="0">
                  <c:v>667400</c:v>
                </c:pt>
                <c:pt idx="1">
                  <c:v>0</c:v>
                </c:pt>
                <c:pt idx="2">
                  <c:v>6000</c:v>
                </c:pt>
                <c:pt idx="3">
                  <c:v>119700</c:v>
                </c:pt>
                <c:pt idx="4">
                  <c:v>232500</c:v>
                </c:pt>
                <c:pt idx="5">
                  <c:v>288000</c:v>
                </c:pt>
                <c:pt idx="6">
                  <c:v>0</c:v>
                </c:pt>
                <c:pt idx="7">
                  <c:v>16000</c:v>
                </c:pt>
                <c:pt idx="8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Summary!$Q$25:$Q$27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Summary!$S$25:$S$27</c:f>
              <c:numCache>
                <c:formatCode>"$"#,##0.00</c:formatCode>
                <c:ptCount val="3"/>
                <c:pt idx="0">
                  <c:v>15657.981517470178</c:v>
                </c:pt>
                <c:pt idx="1">
                  <c:v>19340.965436225921</c:v>
                </c:pt>
                <c:pt idx="2">
                  <c:v>19448.70564936279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A1-4C37-830A-5485C7FA794C}"/>
              </c:ext>
            </c:extLst>
          </c:dPt>
          <c:cat>
            <c:strRef>
              <c:f>Summary!$A$3:$A$11</c:f>
              <c:strCache>
                <c:ptCount val="9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Deva Paint</c:v>
                </c:pt>
                <c:pt idx="7">
                  <c:v>AI CCTV</c:v>
                </c:pt>
                <c:pt idx="8">
                  <c:v>Nautilus Log</c:v>
                </c:pt>
              </c:strCache>
            </c:strRef>
          </c:cat>
          <c:val>
            <c:numRef>
              <c:f>Summary!$O$3:$O$11</c:f>
              <c:numCache>
                <c:formatCode>General</c:formatCode>
                <c:ptCount val="9"/>
                <c:pt idx="0">
                  <c:v>3008</c:v>
                </c:pt>
                <c:pt idx="1">
                  <c:v>0</c:v>
                </c:pt>
                <c:pt idx="2">
                  <c:v>0</c:v>
                </c:pt>
                <c:pt idx="3">
                  <c:v>231</c:v>
                </c:pt>
                <c:pt idx="4">
                  <c:v>1125</c:v>
                </c:pt>
                <c:pt idx="5">
                  <c:v>1360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Summary!$E$93:$E$102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Summary!$I$93:$I$102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88.990044741120116</c:v>
                </c:pt>
                <c:pt idx="2" formatCode="General">
                  <c:v>67.170058891921627</c:v>
                </c:pt>
                <c:pt idx="3" formatCode="General">
                  <c:v>61.389890109890118</c:v>
                </c:pt>
                <c:pt idx="4" formatCode="General">
                  <c:v>59.430460872585428</c:v>
                </c:pt>
                <c:pt idx="5" formatCode="General">
                  <c:v>74.618193790499774</c:v>
                </c:pt>
                <c:pt idx="6" formatCode="General">
                  <c:v>47.666373626373634</c:v>
                </c:pt>
                <c:pt idx="7" formatCode="General">
                  <c:v>59.968442404799234</c:v>
                </c:pt>
                <c:pt idx="8" formatCode="General">
                  <c:v>44.942962902068942</c:v>
                </c:pt>
                <c:pt idx="9" formatCode="General">
                  <c:v>44.406593406593409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1-44AD-962D-AEA2BFB6B6DE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0F-4CB2-A0EE-60A01FC92D4B}"/>
              </c:ext>
            </c:extLst>
          </c:dPt>
          <c:dLbls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20F-4CB2-A0EE-60A01FC92D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Summary!$Q$3:$Q$15</c:f>
              <c:strCache>
                <c:ptCount val="13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Deva Paint</c:v>
                </c:pt>
                <c:pt idx="7">
                  <c:v>AI CCTV</c:v>
                </c:pt>
                <c:pt idx="8">
                  <c:v>Nautilus Log</c:v>
                </c:pt>
                <c:pt idx="9">
                  <c:v>RE Conversion</c:v>
                </c:pt>
                <c:pt idx="10">
                  <c:v>Silicon Hempel X7</c:v>
                </c:pt>
                <c:pt idx="11">
                  <c:v>IOW Separator</c:v>
                </c:pt>
                <c:pt idx="12">
                  <c:v>Average</c:v>
                </c:pt>
              </c:strCache>
            </c:strRef>
          </c:cat>
          <c:val>
            <c:numRef>
              <c:f>Summary!$R$3:$R$15</c:f>
              <c:numCache>
                <c:formatCode>0%</c:formatCode>
                <c:ptCount val="13"/>
                <c:pt idx="0">
                  <c:v>0.75</c:v>
                </c:pt>
                <c:pt idx="1">
                  <c:v>0.5</c:v>
                </c:pt>
                <c:pt idx="2">
                  <c:v>0.30952380952380953</c:v>
                </c:pt>
                <c:pt idx="3">
                  <c:v>0.55737704918032782</c:v>
                </c:pt>
                <c:pt idx="4">
                  <c:v>0.39705882352941174</c:v>
                </c:pt>
                <c:pt idx="5">
                  <c:v>0.2537313432835821</c:v>
                </c:pt>
                <c:pt idx="6">
                  <c:v>1.4925373134328358E-2</c:v>
                </c:pt>
                <c:pt idx="7">
                  <c:v>0.8</c:v>
                </c:pt>
                <c:pt idx="8">
                  <c:v>0.82089552238805974</c:v>
                </c:pt>
                <c:pt idx="9">
                  <c:v>1</c:v>
                </c:pt>
                <c:pt idx="11">
                  <c:v>1</c:v>
                </c:pt>
                <c:pt idx="12">
                  <c:v>0.58213744736722906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182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20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249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451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15</xdr:row>
      <xdr:rowOff>19049</xdr:rowOff>
    </xdr:from>
    <xdr:to>
      <xdr:col>13</xdr:col>
      <xdr:colOff>438150</xdr:colOff>
      <xdr:row>22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23</xdr:row>
      <xdr:rowOff>69850</xdr:rowOff>
    </xdr:from>
    <xdr:to>
      <xdr:col>13</xdr:col>
      <xdr:colOff>479475</xdr:colOff>
      <xdr:row>31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32</xdr:row>
      <xdr:rowOff>50800</xdr:rowOff>
    </xdr:from>
    <xdr:to>
      <xdr:col>13</xdr:col>
      <xdr:colOff>473125</xdr:colOff>
      <xdr:row>40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23</xdr:row>
      <xdr:rowOff>19050</xdr:rowOff>
    </xdr:from>
    <xdr:to>
      <xdr:col>26</xdr:col>
      <xdr:colOff>498524</xdr:colOff>
      <xdr:row>31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32</xdr:row>
      <xdr:rowOff>82550</xdr:rowOff>
    </xdr:from>
    <xdr:to>
      <xdr:col>21</xdr:col>
      <xdr:colOff>355650</xdr:colOff>
      <xdr:row>40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15</xdr:row>
      <xdr:rowOff>19050</xdr:rowOff>
    </xdr:from>
    <xdr:to>
      <xdr:col>20</xdr:col>
      <xdr:colOff>393750</xdr:colOff>
      <xdr:row>22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16</xdr:row>
      <xdr:rowOff>29161</xdr:rowOff>
    </xdr:from>
    <xdr:to>
      <xdr:col>22</xdr:col>
      <xdr:colOff>235055</xdr:colOff>
      <xdr:row>16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41</xdr:row>
      <xdr:rowOff>133350</xdr:rowOff>
    </xdr:from>
    <xdr:to>
      <xdr:col>13</xdr:col>
      <xdr:colOff>492174</xdr:colOff>
      <xdr:row>51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41</xdr:row>
      <xdr:rowOff>139700</xdr:rowOff>
    </xdr:from>
    <xdr:to>
      <xdr:col>20</xdr:col>
      <xdr:colOff>479474</xdr:colOff>
      <xdr:row>51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7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7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7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7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7" dT="2024-08-21T04:48:43.79" personId="{AD57B11D-29D0-4A4E-B576-6E87DB65E71F}" id="{0C9C5DDF-FC6B-4E30-B70F-526D6CD061F3}" parentId="{8E5F7F15-346C-49D5-99C0-81E4379D7D9A}">
    <text xml:space="preserve">ok 
</text>
  </threadedComment>
  <threadedComment ref="D107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02"/>
  <sheetViews>
    <sheetView tabSelected="1" zoomScale="60" zoomScaleNormal="60" workbookViewId="0">
      <selection activeCell="AH8" sqref="AH8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8" width="33.36328125" style="1" customWidth="1"/>
    <col min="9" max="9" width="32.906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16384" width="8.7265625" style="8"/>
  </cols>
  <sheetData>
    <row r="1" spans="1:32" ht="46.5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  <c r="AB1" s="147" t="s">
        <v>299</v>
      </c>
      <c r="AC1" s="148"/>
      <c r="AD1" s="148"/>
      <c r="AE1" s="149"/>
    </row>
    <row r="2" spans="1:32" ht="33.5" customHeight="1" x14ac:dyDescent="0.35">
      <c r="B2" s="174" t="s">
        <v>0</v>
      </c>
      <c r="C2" s="175"/>
      <c r="D2" s="176"/>
      <c r="E2" s="186" t="s">
        <v>133</v>
      </c>
      <c r="F2" s="187"/>
      <c r="G2" s="187"/>
      <c r="H2" s="188"/>
      <c r="I2" s="48"/>
      <c r="J2" s="50"/>
      <c r="K2" s="173" t="s">
        <v>1</v>
      </c>
      <c r="N2" s="8" t="s">
        <v>118</v>
      </c>
      <c r="O2" s="8" t="s">
        <v>119</v>
      </c>
      <c r="Q2" s="8">
        <f>2000*0.01</f>
        <v>20</v>
      </c>
      <c r="T2" s="156" t="s">
        <v>2</v>
      </c>
      <c r="U2" s="159" t="s">
        <v>3</v>
      </c>
      <c r="V2" s="159"/>
      <c r="W2" s="160"/>
      <c r="AB2" s="144" t="s">
        <v>144</v>
      </c>
      <c r="AC2" s="145" t="s">
        <v>285</v>
      </c>
      <c r="AD2" s="14" t="s">
        <v>296</v>
      </c>
      <c r="AE2" s="146" t="s">
        <v>116</v>
      </c>
      <c r="AF2" s="8" t="s">
        <v>153</v>
      </c>
    </row>
    <row r="3" spans="1:32" ht="20.149999999999999" customHeight="1" x14ac:dyDescent="0.35">
      <c r="B3" s="177"/>
      <c r="C3" s="178"/>
      <c r="D3" s="179"/>
      <c r="E3" s="189"/>
      <c r="F3" s="190"/>
      <c r="G3" s="190"/>
      <c r="H3" s="191"/>
      <c r="I3" s="48"/>
      <c r="J3" s="50"/>
      <c r="K3" s="161"/>
      <c r="N3" s="8" t="s">
        <v>117</v>
      </c>
      <c r="O3" s="8">
        <v>3.2</v>
      </c>
      <c r="Q3" s="8">
        <f>O3*Q2</f>
        <v>64</v>
      </c>
      <c r="T3" s="157"/>
      <c r="U3" s="161"/>
      <c r="V3" s="161"/>
      <c r="W3" s="162"/>
      <c r="AB3" s="105" t="s">
        <v>13</v>
      </c>
      <c r="AC3" s="8">
        <v>11000</v>
      </c>
      <c r="AD3" s="8">
        <v>3200</v>
      </c>
      <c r="AE3" s="99">
        <v>64</v>
      </c>
      <c r="AF3" s="8">
        <v>1</v>
      </c>
    </row>
    <row r="4" spans="1:32" ht="20.149999999999999" customHeight="1" x14ac:dyDescent="0.35">
      <c r="B4" s="184" t="s">
        <v>2</v>
      </c>
      <c r="C4" s="180" t="s">
        <v>132</v>
      </c>
      <c r="D4" s="181"/>
      <c r="E4" s="192" t="s">
        <v>134</v>
      </c>
      <c r="F4" s="194" t="s">
        <v>115</v>
      </c>
      <c r="G4" s="194"/>
      <c r="H4" s="196" t="s">
        <v>135</v>
      </c>
      <c r="I4" s="47"/>
      <c r="J4" s="51"/>
      <c r="K4" s="161"/>
      <c r="N4" s="8" t="s">
        <v>120</v>
      </c>
      <c r="O4" s="8">
        <v>600</v>
      </c>
      <c r="P4" s="8" t="s">
        <v>121</v>
      </c>
      <c r="R4" s="8">
        <f>8000/25</f>
        <v>320</v>
      </c>
      <c r="T4" s="157"/>
      <c r="U4" s="161"/>
      <c r="V4" s="161"/>
      <c r="W4" s="162"/>
      <c r="AB4" s="105" t="s">
        <v>95</v>
      </c>
      <c r="AC4" s="8">
        <v>0</v>
      </c>
      <c r="AD4" s="8">
        <v>3200</v>
      </c>
      <c r="AE4" s="99">
        <v>50</v>
      </c>
      <c r="AF4" s="8">
        <v>1</v>
      </c>
    </row>
    <row r="5" spans="1:32" ht="20.149999999999999" customHeight="1" x14ac:dyDescent="0.35">
      <c r="B5" s="184"/>
      <c r="C5" s="180"/>
      <c r="D5" s="181"/>
      <c r="E5" s="192"/>
      <c r="F5" s="194"/>
      <c r="G5" s="194"/>
      <c r="H5" s="196"/>
      <c r="I5" s="47"/>
      <c r="J5" s="51"/>
      <c r="K5" s="161"/>
      <c r="T5" s="157"/>
      <c r="U5" s="161"/>
      <c r="V5" s="161"/>
      <c r="W5" s="162"/>
      <c r="AB5" s="105" t="s">
        <v>113</v>
      </c>
      <c r="AC5" s="8">
        <v>0</v>
      </c>
      <c r="AD5" s="8">
        <v>500</v>
      </c>
      <c r="AE5" s="99">
        <v>0</v>
      </c>
      <c r="AF5" s="8">
        <v>1</v>
      </c>
    </row>
    <row r="6" spans="1:32" ht="51" customHeight="1" thickBot="1" x14ac:dyDescent="0.4">
      <c r="B6" s="185"/>
      <c r="C6" s="182"/>
      <c r="D6" s="183"/>
      <c r="E6" s="193"/>
      <c r="F6" s="195"/>
      <c r="G6" s="195"/>
      <c r="H6" s="197"/>
      <c r="I6" s="47"/>
      <c r="J6" s="51"/>
      <c r="K6" s="161"/>
      <c r="T6" s="158"/>
      <c r="U6" s="163"/>
      <c r="V6" s="163"/>
      <c r="W6" s="164"/>
      <c r="AB6" s="105" t="s">
        <v>14</v>
      </c>
      <c r="AC6" s="8">
        <v>2500</v>
      </c>
      <c r="AD6" s="8">
        <v>3200</v>
      </c>
      <c r="AE6" s="99">
        <v>11</v>
      </c>
      <c r="AF6" s="8">
        <v>1</v>
      </c>
    </row>
    <row r="7" spans="1:32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290</v>
      </c>
      <c r="AB7" s="105" t="s">
        <v>109</v>
      </c>
      <c r="AC7" s="8">
        <v>8300</v>
      </c>
      <c r="AD7" s="8">
        <v>1000</v>
      </c>
      <c r="AE7" s="99">
        <v>45</v>
      </c>
      <c r="AF7" s="8">
        <v>1</v>
      </c>
    </row>
    <row r="8" spans="1:32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107</v>
      </c>
      <c r="F8" s="14" t="s">
        <v>7</v>
      </c>
      <c r="G8" s="33" t="s">
        <v>8</v>
      </c>
      <c r="H8" s="40" t="s">
        <v>298</v>
      </c>
      <c r="I8" s="15" t="s">
        <v>297</v>
      </c>
      <c r="J8" s="53" t="s">
        <v>116</v>
      </c>
      <c r="K8" s="15" t="s">
        <v>9</v>
      </c>
      <c r="L8" s="30" t="s">
        <v>10</v>
      </c>
      <c r="U8" s="129" t="s">
        <v>126</v>
      </c>
      <c r="V8" s="126" t="s">
        <v>140</v>
      </c>
      <c r="W8" s="126" t="s">
        <v>252</v>
      </c>
      <c r="X8" s="126"/>
      <c r="Y8" s="127" t="s">
        <v>251</v>
      </c>
      <c r="Z8" s="128"/>
      <c r="AB8" s="106" t="s">
        <v>289</v>
      </c>
      <c r="AC8" s="13">
        <v>16000</v>
      </c>
      <c r="AD8" s="13">
        <v>2000</v>
      </c>
      <c r="AE8" s="100">
        <v>85</v>
      </c>
      <c r="AF8" s="13">
        <v>1</v>
      </c>
    </row>
    <row r="9" spans="1:32" ht="30" customHeight="1" x14ac:dyDescent="0.35">
      <c r="A9" s="8" t="s">
        <v>136</v>
      </c>
      <c r="B9" s="150">
        <v>1</v>
      </c>
      <c r="C9" s="150" t="s">
        <v>11</v>
      </c>
      <c r="D9" s="150" t="s">
        <v>12</v>
      </c>
      <c r="E9" s="26" t="s">
        <v>105</v>
      </c>
      <c r="F9" s="31"/>
      <c r="G9" s="34"/>
      <c r="H9" s="55" t="str">
        <f>IF(F9="Done", V9*VLOOKUP(E9, $AB$3:$AC$11, 2, FALSE), "")</f>
        <v/>
      </c>
      <c r="I9" s="55" t="str">
        <f>IF(F9="Done", V9*VLOOKUP(E9, $AB$3:$AD$11, 3, FALSE), "")</f>
        <v/>
      </c>
      <c r="J9" s="56" t="str">
        <f>IF(F9="Done", V9*VLOOKUP(E9, $AB$3:$AE$11, 4, FALSE), "")</f>
        <v/>
      </c>
      <c r="K9" s="2"/>
      <c r="L9" s="41"/>
      <c r="U9" s="121" t="str">
        <f>C9</f>
        <v>Britoil 21</v>
      </c>
      <c r="V9" s="122">
        <f>MIN(Y9/21388,1.3)</f>
        <v>0.51430708808677761</v>
      </c>
      <c r="W9" s="122">
        <f>VLOOKUP(U9, $AB$30:$AH$94, 7, FALSE)</f>
        <v>11000</v>
      </c>
      <c r="X9" s="122"/>
      <c r="Y9" s="122">
        <f>INT(VLOOKUP(U9, $AB$30:$AH$98, 7, FALSE))</f>
        <v>11000</v>
      </c>
      <c r="Z9" s="123"/>
      <c r="AB9" s="106" t="s">
        <v>112</v>
      </c>
      <c r="AC9" s="8">
        <v>8000</v>
      </c>
      <c r="AD9" s="8">
        <v>1000</v>
      </c>
      <c r="AE9" s="100">
        <v>40</v>
      </c>
      <c r="AF9" s="8">
        <v>1</v>
      </c>
    </row>
    <row r="10" spans="1:32" ht="25" customHeight="1" outlineLevel="1" x14ac:dyDescent="0.35">
      <c r="B10" s="151"/>
      <c r="C10" s="151"/>
      <c r="D10" s="151"/>
      <c r="E10" s="3" t="s">
        <v>109</v>
      </c>
      <c r="F10" s="31" t="s">
        <v>21</v>
      </c>
      <c r="G10" s="35"/>
      <c r="H10" s="57" t="str">
        <f t="shared" ref="H10:H23" si="0">IF(F10="Done", V10*VLOOKUP(E10, $AB$3:$AC$11, 2, FALSE), "")</f>
        <v/>
      </c>
      <c r="I10" s="57" t="str">
        <f t="shared" ref="I10:I23" si="1">IF(F10="Done", V10*VLOOKUP(E10, $AB$3:$AD$11, 3, FALSE), "")</f>
        <v/>
      </c>
      <c r="J10" s="58" t="str">
        <f t="shared" ref="J10:J23" si="2">IF(F10="Done", V10*VLOOKUP(E10, $AB$3:$AE$11, 4, FALSE), "")</f>
        <v/>
      </c>
      <c r="K10" s="3"/>
      <c r="L10" s="42"/>
      <c r="U10" s="121" t="s">
        <v>11</v>
      </c>
      <c r="V10" s="122">
        <f t="shared" ref="V10:V73" si="3">MIN(Y10/21388,1.3)</f>
        <v>0.51430708808677761</v>
      </c>
      <c r="W10" s="122">
        <v>11000</v>
      </c>
      <c r="X10" s="122"/>
      <c r="Y10" s="122">
        <f t="shared" ref="Y10:Y73" si="4">INT(VLOOKUP(U10, $AB$30:$AH$98, 7, FALSE))</f>
        <v>11000</v>
      </c>
      <c r="Z10" s="123"/>
      <c r="AB10" s="105" t="s">
        <v>106</v>
      </c>
      <c r="AC10" s="8">
        <v>0</v>
      </c>
      <c r="AD10" s="8">
        <v>4000</v>
      </c>
      <c r="AE10" s="99">
        <v>0</v>
      </c>
      <c r="AF10" s="8">
        <v>1</v>
      </c>
    </row>
    <row r="11" spans="1:32" ht="25" customHeight="1" outlineLevel="1" x14ac:dyDescent="0.35">
      <c r="B11" s="151"/>
      <c r="C11" s="151"/>
      <c r="D11" s="151"/>
      <c r="E11" s="3" t="s">
        <v>112</v>
      </c>
      <c r="F11" s="31" t="s">
        <v>21</v>
      </c>
      <c r="G11" s="35"/>
      <c r="H11" s="57" t="str">
        <f t="shared" si="0"/>
        <v/>
      </c>
      <c r="I11" s="57" t="str">
        <f t="shared" si="1"/>
        <v/>
      </c>
      <c r="J11" s="58" t="str">
        <f t="shared" si="2"/>
        <v/>
      </c>
      <c r="K11" s="3"/>
      <c r="L11" s="42"/>
      <c r="U11" s="121" t="s">
        <v>11</v>
      </c>
      <c r="V11" s="122">
        <f t="shared" si="3"/>
        <v>0.51430708808677761</v>
      </c>
      <c r="W11" s="122">
        <v>11000</v>
      </c>
      <c r="X11" s="122"/>
      <c r="Y11" s="122">
        <f t="shared" si="4"/>
        <v>11000</v>
      </c>
      <c r="Z11" s="123"/>
      <c r="AB11" s="107" t="s">
        <v>131</v>
      </c>
      <c r="AC11" s="16">
        <v>0</v>
      </c>
      <c r="AD11" s="16">
        <v>2000</v>
      </c>
      <c r="AE11" s="101">
        <v>0</v>
      </c>
      <c r="AF11" s="8">
        <v>1</v>
      </c>
    </row>
    <row r="12" spans="1:32" ht="25" customHeight="1" outlineLevel="1" x14ac:dyDescent="0.35">
      <c r="B12" s="151"/>
      <c r="C12" s="151"/>
      <c r="D12" s="151"/>
      <c r="E12" s="3" t="s">
        <v>13</v>
      </c>
      <c r="F12" s="31" t="s">
        <v>32</v>
      </c>
      <c r="G12" s="35"/>
      <c r="H12" s="57" t="str">
        <f t="shared" si="0"/>
        <v/>
      </c>
      <c r="I12" s="57" t="str">
        <f t="shared" si="1"/>
        <v/>
      </c>
      <c r="J12" s="58" t="str">
        <f t="shared" si="2"/>
        <v/>
      </c>
      <c r="K12" s="3"/>
      <c r="L12" s="42"/>
      <c r="U12" s="121" t="s">
        <v>11</v>
      </c>
      <c r="V12" s="122">
        <f t="shared" si="3"/>
        <v>0.51430708808677761</v>
      </c>
      <c r="W12" s="122">
        <v>11000</v>
      </c>
      <c r="X12" s="122"/>
      <c r="Y12" s="122">
        <f t="shared" si="4"/>
        <v>11000</v>
      </c>
      <c r="Z12" s="123"/>
    </row>
    <row r="13" spans="1:32" ht="25" customHeight="1" outlineLevel="1" x14ac:dyDescent="0.35">
      <c r="B13" s="152"/>
      <c r="C13" s="152"/>
      <c r="D13" s="152"/>
      <c r="E13" s="3" t="s">
        <v>14</v>
      </c>
      <c r="F13" s="31" t="s">
        <v>108</v>
      </c>
      <c r="G13" s="35"/>
      <c r="H13" s="57" t="str">
        <f t="shared" si="0"/>
        <v/>
      </c>
      <c r="I13" s="57" t="str">
        <f t="shared" si="1"/>
        <v/>
      </c>
      <c r="J13" s="58" t="str">
        <f t="shared" si="2"/>
        <v/>
      </c>
      <c r="K13" s="3"/>
      <c r="L13" s="43"/>
      <c r="U13" s="121" t="s">
        <v>11</v>
      </c>
      <c r="V13" s="122">
        <f t="shared" si="3"/>
        <v>0.51430708808677761</v>
      </c>
      <c r="W13" s="122">
        <v>11000</v>
      </c>
      <c r="X13" s="122"/>
      <c r="Y13" s="122">
        <f t="shared" si="4"/>
        <v>11000</v>
      </c>
      <c r="Z13" s="123"/>
    </row>
    <row r="14" spans="1:32" ht="30" customHeight="1" x14ac:dyDescent="0.35">
      <c r="A14" s="8" t="s">
        <v>136</v>
      </c>
      <c r="B14" s="153">
        <v>2</v>
      </c>
      <c r="C14" s="153" t="s">
        <v>15</v>
      </c>
      <c r="D14" s="153" t="s">
        <v>12</v>
      </c>
      <c r="E14" s="27" t="s">
        <v>105</v>
      </c>
      <c r="F14" s="32"/>
      <c r="G14" s="36"/>
      <c r="H14" s="59" t="str">
        <f t="shared" si="0"/>
        <v/>
      </c>
      <c r="I14" s="59" t="str">
        <f t="shared" si="1"/>
        <v/>
      </c>
      <c r="J14" s="60" t="str">
        <f t="shared" si="2"/>
        <v/>
      </c>
      <c r="K14" s="153" t="s">
        <v>175</v>
      </c>
      <c r="L14" s="44"/>
      <c r="U14" s="121" t="str">
        <f t="shared" ref="U14:U29" si="5">C14</f>
        <v>Britoil 22</v>
      </c>
      <c r="V14" s="122">
        <f t="shared" si="3"/>
        <v>0.51430708808677761</v>
      </c>
      <c r="W14" s="122">
        <v>11000</v>
      </c>
      <c r="X14" s="122"/>
      <c r="Y14" s="122">
        <f t="shared" si="4"/>
        <v>11000</v>
      </c>
      <c r="Z14" s="123"/>
      <c r="AB14" s="102" t="s">
        <v>144</v>
      </c>
      <c r="AC14" s="103" t="s">
        <v>285</v>
      </c>
      <c r="AD14" s="30" t="s">
        <v>296</v>
      </c>
      <c r="AE14" s="104" t="s">
        <v>116</v>
      </c>
    </row>
    <row r="15" spans="1:32" ht="25" customHeight="1" outlineLevel="1" x14ac:dyDescent="0.35">
      <c r="B15" s="154"/>
      <c r="C15" s="154"/>
      <c r="D15" s="154"/>
      <c r="E15" s="6" t="s">
        <v>109</v>
      </c>
      <c r="F15" s="32" t="s">
        <v>21</v>
      </c>
      <c r="G15" s="37"/>
      <c r="H15" s="61" t="str">
        <f t="shared" si="0"/>
        <v/>
      </c>
      <c r="I15" s="61" t="str">
        <f t="shared" si="1"/>
        <v/>
      </c>
      <c r="J15" s="62" t="str">
        <f t="shared" si="2"/>
        <v/>
      </c>
      <c r="K15" s="154"/>
      <c r="L15" s="45"/>
      <c r="U15" s="121" t="s">
        <v>15</v>
      </c>
      <c r="V15" s="122">
        <f t="shared" si="3"/>
        <v>0.51430708808677761</v>
      </c>
      <c r="W15" s="122">
        <v>11000</v>
      </c>
      <c r="X15" s="122"/>
      <c r="Y15" s="122">
        <f t="shared" si="4"/>
        <v>11000</v>
      </c>
      <c r="Z15" s="123"/>
      <c r="AB15" s="105" t="s">
        <v>13</v>
      </c>
      <c r="AC15" s="8">
        <v>11000</v>
      </c>
      <c r="AD15" s="8">
        <v>3200</v>
      </c>
      <c r="AE15" s="99">
        <v>64</v>
      </c>
      <c r="AF15" s="8" t="s">
        <v>154</v>
      </c>
    </row>
    <row r="16" spans="1:32" ht="25" customHeight="1" outlineLevel="1" x14ac:dyDescent="0.35">
      <c r="B16" s="154"/>
      <c r="C16" s="154"/>
      <c r="D16" s="154"/>
      <c r="E16" s="6" t="s">
        <v>112</v>
      </c>
      <c r="F16" s="32" t="s">
        <v>21</v>
      </c>
      <c r="G16" s="37"/>
      <c r="H16" s="61" t="str">
        <f t="shared" si="0"/>
        <v/>
      </c>
      <c r="I16" s="61" t="str">
        <f t="shared" si="1"/>
        <v/>
      </c>
      <c r="J16" s="62" t="str">
        <f t="shared" si="2"/>
        <v/>
      </c>
      <c r="K16" s="154"/>
      <c r="L16" s="45"/>
      <c r="U16" s="121" t="s">
        <v>15</v>
      </c>
      <c r="V16" s="122">
        <f t="shared" si="3"/>
        <v>0.51430708808677761</v>
      </c>
      <c r="W16" s="122">
        <v>11000</v>
      </c>
      <c r="X16" s="122"/>
      <c r="Y16" s="122">
        <f t="shared" si="4"/>
        <v>11000</v>
      </c>
      <c r="Z16" s="123"/>
      <c r="AB16" s="105" t="s">
        <v>95</v>
      </c>
      <c r="AC16" s="8">
        <v>0</v>
      </c>
      <c r="AD16" s="8">
        <v>3200</v>
      </c>
      <c r="AE16" s="99">
        <v>50</v>
      </c>
      <c r="AF16" s="8" t="s">
        <v>155</v>
      </c>
    </row>
    <row r="17" spans="1:34" ht="25" customHeight="1" outlineLevel="1" x14ac:dyDescent="0.35">
      <c r="B17" s="154"/>
      <c r="C17" s="154"/>
      <c r="D17" s="154"/>
      <c r="E17" s="6" t="s">
        <v>13</v>
      </c>
      <c r="F17" s="32" t="s">
        <v>17</v>
      </c>
      <c r="G17" s="37" t="s">
        <v>174</v>
      </c>
      <c r="H17" s="61">
        <f t="shared" si="0"/>
        <v>5657.3779689545536</v>
      </c>
      <c r="I17" s="61">
        <f>IF(F17="Done", V17*VLOOKUP(E17, $AB$3:$AD$11, 3, FALSE), "")</f>
        <v>1645.7826818776884</v>
      </c>
      <c r="J17" s="62">
        <f t="shared" si="2"/>
        <v>32.915653637553767</v>
      </c>
      <c r="K17" s="154"/>
      <c r="L17" s="45"/>
      <c r="U17" s="121" t="s">
        <v>15</v>
      </c>
      <c r="V17" s="122">
        <f t="shared" si="3"/>
        <v>0.51430708808677761</v>
      </c>
      <c r="W17" s="122">
        <v>11000</v>
      </c>
      <c r="X17" s="122"/>
      <c r="Y17" s="122">
        <f t="shared" si="4"/>
        <v>11000</v>
      </c>
      <c r="Z17" s="123"/>
      <c r="AB17" s="105" t="s">
        <v>113</v>
      </c>
      <c r="AC17" s="8">
        <v>0</v>
      </c>
      <c r="AD17" s="8">
        <v>0</v>
      </c>
      <c r="AE17" s="99">
        <v>0</v>
      </c>
      <c r="AF17" s="8" t="s">
        <v>151</v>
      </c>
    </row>
    <row r="18" spans="1:34" ht="25" customHeight="1" outlineLevel="1" x14ac:dyDescent="0.35">
      <c r="B18" s="155"/>
      <c r="C18" s="155"/>
      <c r="D18" s="155"/>
      <c r="E18" s="6" t="s">
        <v>14</v>
      </c>
      <c r="F18" s="32" t="s">
        <v>108</v>
      </c>
      <c r="G18" s="38"/>
      <c r="H18" s="63" t="str">
        <f t="shared" si="0"/>
        <v/>
      </c>
      <c r="I18" s="63" t="str">
        <f t="shared" si="1"/>
        <v/>
      </c>
      <c r="J18" s="64" t="str">
        <f t="shared" si="2"/>
        <v/>
      </c>
      <c r="K18" s="155"/>
      <c r="L18" s="46"/>
      <c r="U18" s="121" t="s">
        <v>15</v>
      </c>
      <c r="V18" s="122">
        <f t="shared" si="3"/>
        <v>0.51430708808677761</v>
      </c>
      <c r="W18" s="122">
        <v>11000</v>
      </c>
      <c r="X18" s="122"/>
      <c r="Y18" s="122">
        <f t="shared" si="4"/>
        <v>11000</v>
      </c>
      <c r="Z18" s="123"/>
      <c r="AB18" s="105" t="s">
        <v>14</v>
      </c>
      <c r="AC18" s="8">
        <v>2500</v>
      </c>
      <c r="AD18" s="8">
        <v>3200</v>
      </c>
      <c r="AE18" s="99">
        <v>11</v>
      </c>
      <c r="AF18" s="8" t="s">
        <v>37</v>
      </c>
    </row>
    <row r="19" spans="1:34" ht="30" customHeight="1" x14ac:dyDescent="0.35">
      <c r="A19" s="8" t="s">
        <v>136</v>
      </c>
      <c r="B19" s="150">
        <v>3</v>
      </c>
      <c r="C19" s="150" t="s">
        <v>16</v>
      </c>
      <c r="D19" s="150" t="s">
        <v>12</v>
      </c>
      <c r="E19" s="26" t="s">
        <v>105</v>
      </c>
      <c r="F19" s="31"/>
      <c r="G19" s="35"/>
      <c r="H19" s="57" t="str">
        <f t="shared" si="0"/>
        <v/>
      </c>
      <c r="I19" s="57" t="str">
        <f t="shared" si="1"/>
        <v/>
      </c>
      <c r="J19" s="58" t="str">
        <f t="shared" si="2"/>
        <v/>
      </c>
      <c r="K19" s="3"/>
      <c r="L19" s="41"/>
      <c r="U19" s="121" t="str">
        <f t="shared" si="5"/>
        <v>Britoil 41</v>
      </c>
      <c r="V19" s="122">
        <f t="shared" si="3"/>
        <v>1.3</v>
      </c>
      <c r="W19" s="122">
        <v>42000</v>
      </c>
      <c r="X19" s="122" t="s">
        <v>160</v>
      </c>
      <c r="Y19" s="122">
        <f t="shared" si="4"/>
        <v>33611</v>
      </c>
      <c r="Z19" s="123"/>
      <c r="AB19" s="105" t="s">
        <v>109</v>
      </c>
      <c r="AC19" s="8">
        <v>8300</v>
      </c>
      <c r="AD19" s="8">
        <v>1000</v>
      </c>
      <c r="AE19" s="99">
        <v>45</v>
      </c>
      <c r="AF19" s="8" t="s">
        <v>152</v>
      </c>
    </row>
    <row r="20" spans="1:34" ht="25" customHeight="1" outlineLevel="1" x14ac:dyDescent="0.35">
      <c r="B20" s="151"/>
      <c r="C20" s="151"/>
      <c r="D20" s="151"/>
      <c r="E20" s="3" t="s">
        <v>13</v>
      </c>
      <c r="F20" s="31" t="s">
        <v>17</v>
      </c>
      <c r="G20" s="35"/>
      <c r="H20" s="57">
        <f t="shared" si="0"/>
        <v>14300</v>
      </c>
      <c r="I20" s="57">
        <f t="shared" si="1"/>
        <v>4160</v>
      </c>
      <c r="J20" s="58">
        <f t="shared" si="2"/>
        <v>83.2</v>
      </c>
      <c r="K20" s="3"/>
      <c r="L20" s="42"/>
      <c r="U20" s="121" t="s">
        <v>16</v>
      </c>
      <c r="V20" s="122">
        <f t="shared" si="3"/>
        <v>1.3</v>
      </c>
      <c r="W20" s="122">
        <v>42000</v>
      </c>
      <c r="X20" s="122"/>
      <c r="Y20" s="122">
        <f t="shared" si="4"/>
        <v>33611</v>
      </c>
      <c r="Z20" s="123"/>
      <c r="AB20" s="106" t="s">
        <v>112</v>
      </c>
      <c r="AC20" s="13">
        <v>16000</v>
      </c>
      <c r="AD20" s="13">
        <v>100</v>
      </c>
      <c r="AE20" s="100">
        <v>85</v>
      </c>
      <c r="AF20" s="13" t="s">
        <v>145</v>
      </c>
    </row>
    <row r="21" spans="1:34" ht="25" customHeight="1" outlineLevel="1" x14ac:dyDescent="0.35">
      <c r="B21" s="151"/>
      <c r="C21" s="151"/>
      <c r="D21" s="151"/>
      <c r="E21" s="3" t="s">
        <v>112</v>
      </c>
      <c r="F21" s="31" t="s">
        <v>21</v>
      </c>
      <c r="G21" s="35"/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3"/>
      <c r="L21" s="42"/>
      <c r="U21" s="121" t="s">
        <v>16</v>
      </c>
      <c r="V21" s="122">
        <f t="shared" si="3"/>
        <v>1.3</v>
      </c>
      <c r="W21" s="122">
        <v>42000</v>
      </c>
      <c r="X21" s="122"/>
      <c r="Y21" s="122">
        <f t="shared" si="4"/>
        <v>33611</v>
      </c>
      <c r="Z21" s="123"/>
      <c r="AB21" s="106" t="s">
        <v>288</v>
      </c>
      <c r="AC21" s="8">
        <v>8000</v>
      </c>
      <c r="AD21" s="8">
        <v>100</v>
      </c>
      <c r="AE21" s="100">
        <v>40</v>
      </c>
    </row>
    <row r="22" spans="1:34" ht="25" customHeight="1" outlineLevel="1" x14ac:dyDescent="0.35">
      <c r="B22" s="151"/>
      <c r="C22" s="151"/>
      <c r="D22" s="151"/>
      <c r="E22" s="3" t="s">
        <v>109</v>
      </c>
      <c r="F22" s="31" t="s">
        <v>17</v>
      </c>
      <c r="G22" s="35"/>
      <c r="H22" s="57">
        <f t="shared" si="0"/>
        <v>10790</v>
      </c>
      <c r="I22" s="57">
        <f t="shared" si="1"/>
        <v>1300</v>
      </c>
      <c r="J22" s="58">
        <f t="shared" si="2"/>
        <v>58.5</v>
      </c>
      <c r="K22" s="3"/>
      <c r="L22" s="42"/>
      <c r="U22" s="121" t="s">
        <v>16</v>
      </c>
      <c r="V22" s="122">
        <f t="shared" si="3"/>
        <v>1.3</v>
      </c>
      <c r="W22" s="122">
        <v>42000</v>
      </c>
      <c r="X22" s="122"/>
      <c r="Y22" s="122">
        <f t="shared" si="4"/>
        <v>33611</v>
      </c>
      <c r="Z22" s="123"/>
      <c r="AB22" s="105" t="s">
        <v>106</v>
      </c>
      <c r="AC22" s="8">
        <v>0</v>
      </c>
      <c r="AD22" s="8">
        <v>3000</v>
      </c>
      <c r="AE22" s="99">
        <v>0</v>
      </c>
      <c r="AF22" s="8" t="s">
        <v>151</v>
      </c>
    </row>
    <row r="23" spans="1:34" ht="25" customHeight="1" outlineLevel="1" x14ac:dyDescent="0.35">
      <c r="B23" s="152"/>
      <c r="C23" s="152"/>
      <c r="D23" s="152"/>
      <c r="E23" s="3" t="s">
        <v>14</v>
      </c>
      <c r="F23" s="31" t="s">
        <v>17</v>
      </c>
      <c r="G23" s="35"/>
      <c r="H23" s="57">
        <f t="shared" si="0"/>
        <v>3250</v>
      </c>
      <c r="I23" s="57">
        <f t="shared" si="1"/>
        <v>4160</v>
      </c>
      <c r="J23" s="58">
        <f t="shared" si="2"/>
        <v>14.3</v>
      </c>
      <c r="K23" s="3"/>
      <c r="L23" s="43"/>
      <c r="U23" s="121" t="s">
        <v>16</v>
      </c>
      <c r="V23" s="122">
        <f t="shared" si="3"/>
        <v>1.3</v>
      </c>
      <c r="W23" s="122">
        <v>42000</v>
      </c>
      <c r="X23" s="122"/>
      <c r="Y23" s="122">
        <f t="shared" si="4"/>
        <v>33611</v>
      </c>
      <c r="Z23" s="123"/>
      <c r="AB23" s="107" t="s">
        <v>131</v>
      </c>
      <c r="AC23" s="16">
        <v>0</v>
      </c>
      <c r="AD23" s="16">
        <v>2000</v>
      </c>
      <c r="AE23" s="101">
        <v>0</v>
      </c>
      <c r="AF23" s="8" t="s">
        <v>151</v>
      </c>
    </row>
    <row r="24" spans="1:34" ht="30" customHeight="1" x14ac:dyDescent="0.35">
      <c r="A24" s="8" t="s">
        <v>136</v>
      </c>
      <c r="B24" s="153">
        <v>4</v>
      </c>
      <c r="C24" s="153" t="s">
        <v>18</v>
      </c>
      <c r="D24" s="153" t="s">
        <v>12</v>
      </c>
      <c r="E24" s="27" t="s">
        <v>105</v>
      </c>
      <c r="F24" s="32"/>
      <c r="G24" s="36"/>
      <c r="H24" s="59" t="str">
        <f t="shared" ref="H24:H87" si="6">IF(F24="Done", V24*VLOOKUP(E24, $AB$3:$AC$11, 2, FALSE), "")</f>
        <v/>
      </c>
      <c r="I24" s="59" t="str">
        <f t="shared" ref="I24:I87" si="7">IF(F24="Done", V24*VLOOKUP(E24, $AB$3:$AD$11, 3, FALSE), "")</f>
        <v/>
      </c>
      <c r="J24" s="60" t="str">
        <f t="shared" ref="J24:J87" si="8">IF(F24="Done", V24*VLOOKUP(E24, $AB$3:$AE$11, 4, FALSE), "")</f>
        <v/>
      </c>
      <c r="K24" s="170" t="s">
        <v>103</v>
      </c>
      <c r="L24" s="44"/>
      <c r="U24" s="121" t="str">
        <f t="shared" si="5"/>
        <v>Britoil 60</v>
      </c>
      <c r="V24" s="122">
        <f t="shared" si="3"/>
        <v>1.3</v>
      </c>
      <c r="W24" s="122">
        <v>32000</v>
      </c>
      <c r="X24" s="122" t="s">
        <v>160</v>
      </c>
      <c r="Y24" s="122">
        <f t="shared" si="4"/>
        <v>32083</v>
      </c>
      <c r="Z24" s="123"/>
    </row>
    <row r="25" spans="1:34" ht="25" customHeight="1" outlineLevel="1" x14ac:dyDescent="0.35">
      <c r="B25" s="154"/>
      <c r="C25" s="154"/>
      <c r="D25" s="154"/>
      <c r="E25" s="6" t="s">
        <v>13</v>
      </c>
      <c r="F25" s="32" t="s">
        <v>17</v>
      </c>
      <c r="G25" s="37"/>
      <c r="H25" s="61">
        <f t="shared" si="6"/>
        <v>14300</v>
      </c>
      <c r="I25" s="61">
        <f t="shared" si="7"/>
        <v>4160</v>
      </c>
      <c r="J25" s="62">
        <f t="shared" si="8"/>
        <v>83.2</v>
      </c>
      <c r="K25" s="171"/>
      <c r="L25" s="45"/>
      <c r="U25" s="121" t="s">
        <v>18</v>
      </c>
      <c r="V25" s="122">
        <f t="shared" si="3"/>
        <v>1.3</v>
      </c>
      <c r="W25" s="122">
        <v>32000</v>
      </c>
      <c r="X25" s="122"/>
      <c r="Y25" s="122">
        <f t="shared" si="4"/>
        <v>32083</v>
      </c>
      <c r="Z25" s="123"/>
      <c r="AC25" s="198" t="s">
        <v>162</v>
      </c>
      <c r="AD25" s="199"/>
    </row>
    <row r="26" spans="1:34" ht="25" customHeight="1" outlineLevel="1" x14ac:dyDescent="0.35">
      <c r="B26" s="154"/>
      <c r="C26" s="154"/>
      <c r="D26" s="154"/>
      <c r="E26" s="6" t="s">
        <v>112</v>
      </c>
      <c r="F26" s="32" t="s">
        <v>21</v>
      </c>
      <c r="G26" s="37"/>
      <c r="H26" s="61" t="str">
        <f t="shared" si="6"/>
        <v/>
      </c>
      <c r="I26" s="61" t="str">
        <f t="shared" si="7"/>
        <v/>
      </c>
      <c r="J26" s="62" t="str">
        <f t="shared" si="8"/>
        <v/>
      </c>
      <c r="K26" s="171"/>
      <c r="L26" s="45"/>
      <c r="U26" s="121" t="s">
        <v>18</v>
      </c>
      <c r="V26" s="122">
        <f t="shared" si="3"/>
        <v>1.3</v>
      </c>
      <c r="W26" s="122">
        <v>32000</v>
      </c>
      <c r="X26" s="122"/>
      <c r="Y26" s="122">
        <f t="shared" si="4"/>
        <v>32083</v>
      </c>
      <c r="Z26" s="123"/>
    </row>
    <row r="27" spans="1:34" ht="25" customHeight="1" outlineLevel="1" x14ac:dyDescent="0.35">
      <c r="B27" s="154"/>
      <c r="C27" s="154"/>
      <c r="D27" s="154"/>
      <c r="E27" s="6" t="s">
        <v>109</v>
      </c>
      <c r="F27" s="32" t="s">
        <v>21</v>
      </c>
      <c r="G27" s="37"/>
      <c r="H27" s="61" t="str">
        <f t="shared" si="6"/>
        <v/>
      </c>
      <c r="I27" s="61" t="str">
        <f t="shared" si="7"/>
        <v/>
      </c>
      <c r="J27" s="62" t="str">
        <f t="shared" si="8"/>
        <v/>
      </c>
      <c r="K27" s="171"/>
      <c r="L27" s="45"/>
      <c r="U27" s="121" t="s">
        <v>18</v>
      </c>
      <c r="V27" s="122">
        <f t="shared" si="3"/>
        <v>1.3</v>
      </c>
      <c r="W27" s="122">
        <v>32000</v>
      </c>
      <c r="X27" s="122"/>
      <c r="Y27" s="122">
        <f t="shared" si="4"/>
        <v>32083</v>
      </c>
      <c r="Z27" s="123"/>
    </row>
    <row r="28" spans="1:34" ht="25" customHeight="1" outlineLevel="1" x14ac:dyDescent="0.35">
      <c r="B28" s="155"/>
      <c r="C28" s="155"/>
      <c r="D28" s="155"/>
      <c r="E28" s="7" t="s">
        <v>14</v>
      </c>
      <c r="F28" s="32" t="s">
        <v>17</v>
      </c>
      <c r="G28" s="38">
        <v>45397</v>
      </c>
      <c r="H28" s="63">
        <f t="shared" si="6"/>
        <v>3250</v>
      </c>
      <c r="I28" s="63">
        <f t="shared" si="7"/>
        <v>4160</v>
      </c>
      <c r="J28" s="64">
        <f t="shared" si="8"/>
        <v>14.3</v>
      </c>
      <c r="K28" s="172"/>
      <c r="L28" s="46"/>
      <c r="U28" s="121" t="s">
        <v>18</v>
      </c>
      <c r="V28" s="122">
        <f t="shared" si="3"/>
        <v>1.3</v>
      </c>
      <c r="W28" s="122">
        <v>32000</v>
      </c>
      <c r="X28" s="122"/>
      <c r="Y28" s="122">
        <f t="shared" si="4"/>
        <v>32083</v>
      </c>
      <c r="Z28" s="123"/>
    </row>
    <row r="29" spans="1:34" ht="30" customHeight="1" x14ac:dyDescent="0.35">
      <c r="A29" s="8" t="s">
        <v>136</v>
      </c>
      <c r="B29" s="150">
        <v>5</v>
      </c>
      <c r="C29" s="150" t="s">
        <v>19</v>
      </c>
      <c r="D29" s="150" t="s">
        <v>12</v>
      </c>
      <c r="E29" s="26" t="s">
        <v>105</v>
      </c>
      <c r="F29" s="31"/>
      <c r="G29" s="35"/>
      <c r="H29" s="57" t="str">
        <f t="shared" si="6"/>
        <v/>
      </c>
      <c r="I29" s="57" t="str">
        <f t="shared" si="7"/>
        <v/>
      </c>
      <c r="J29" s="58" t="str">
        <f t="shared" si="8"/>
        <v/>
      </c>
      <c r="K29" s="3"/>
      <c r="L29" s="41"/>
      <c r="U29" s="121" t="str">
        <f t="shared" si="5"/>
        <v>Britoil 61</v>
      </c>
      <c r="V29" s="122">
        <f t="shared" si="3"/>
        <v>1.3</v>
      </c>
      <c r="W29" s="122">
        <v>32000</v>
      </c>
      <c r="X29" s="122" t="s">
        <v>160</v>
      </c>
      <c r="Y29" s="122">
        <f t="shared" si="4"/>
        <v>32083</v>
      </c>
      <c r="Z29" s="123"/>
      <c r="AB29" s="8" t="s">
        <v>208</v>
      </c>
      <c r="AC29" s="8" t="s">
        <v>209</v>
      </c>
      <c r="AD29" s="8" t="s">
        <v>210</v>
      </c>
      <c r="AE29" s="8" t="s">
        <v>211</v>
      </c>
    </row>
    <row r="30" spans="1:34" ht="25" customHeight="1" outlineLevel="1" x14ac:dyDescent="0.35">
      <c r="B30" s="151"/>
      <c r="C30" s="151"/>
      <c r="D30" s="151"/>
      <c r="E30" s="3" t="s">
        <v>13</v>
      </c>
      <c r="F30" s="31" t="s">
        <v>17</v>
      </c>
      <c r="G30" s="35"/>
      <c r="H30" s="57">
        <f t="shared" si="6"/>
        <v>14300</v>
      </c>
      <c r="I30" s="57">
        <f t="shared" si="7"/>
        <v>4160</v>
      </c>
      <c r="J30" s="58">
        <f t="shared" si="8"/>
        <v>83.2</v>
      </c>
      <c r="K30" s="3"/>
      <c r="L30" s="42"/>
      <c r="U30" s="121" t="str" cm="1">
        <f t="array" ref="U30">IF(C30="",INDEX(C27:C30,MATCH(TRUE,INDEX((C27:C30&lt;&gt;""),0),0)),C30)</f>
        <v>Britoil 61</v>
      </c>
      <c r="V30" s="122">
        <f t="shared" si="3"/>
        <v>1.3</v>
      </c>
      <c r="W30" s="122">
        <v>32000</v>
      </c>
      <c r="X30" s="122"/>
      <c r="Y30" s="122">
        <f t="shared" si="4"/>
        <v>32083</v>
      </c>
      <c r="Z30" s="123"/>
      <c r="AB30" s="8" t="s">
        <v>11</v>
      </c>
      <c r="AC30" s="120">
        <v>3600</v>
      </c>
      <c r="AD30" s="8">
        <v>52</v>
      </c>
      <c r="AE30" s="8" t="s">
        <v>212</v>
      </c>
      <c r="AF30" s="8">
        <v>14.4</v>
      </c>
      <c r="AG30" s="8">
        <v>1</v>
      </c>
      <c r="AH30" s="8">
        <v>11000</v>
      </c>
    </row>
    <row r="31" spans="1:34" ht="25" customHeight="1" outlineLevel="1" x14ac:dyDescent="0.35">
      <c r="B31" s="151"/>
      <c r="C31" s="151"/>
      <c r="D31" s="151"/>
      <c r="E31" s="3" t="s">
        <v>112</v>
      </c>
      <c r="F31" s="31" t="s">
        <v>21</v>
      </c>
      <c r="G31" s="35"/>
      <c r="H31" s="57" t="str">
        <f t="shared" si="6"/>
        <v/>
      </c>
      <c r="I31" s="57" t="str">
        <f t="shared" si="7"/>
        <v/>
      </c>
      <c r="J31" s="58" t="str">
        <f t="shared" si="8"/>
        <v/>
      </c>
      <c r="K31" s="3"/>
      <c r="L31" s="42"/>
      <c r="U31" s="121" t="str" cm="1">
        <f t="array" ref="U31">IF(C31="",INDEX(C28:C31,MATCH(TRUE,INDEX((C28:C31&lt;&gt;""),0),0)),C31)</f>
        <v>Britoil 61</v>
      </c>
      <c r="V31" s="122">
        <f t="shared" si="3"/>
        <v>1.3</v>
      </c>
      <c r="W31" s="122">
        <v>32000</v>
      </c>
      <c r="X31" s="122"/>
      <c r="Y31" s="122">
        <f t="shared" si="4"/>
        <v>32083</v>
      </c>
      <c r="Z31" s="123"/>
      <c r="AB31" s="8" t="s">
        <v>15</v>
      </c>
      <c r="AC31" s="120">
        <v>3600</v>
      </c>
      <c r="AD31" s="8">
        <v>52</v>
      </c>
      <c r="AE31" s="8" t="s">
        <v>212</v>
      </c>
      <c r="AF31" s="8">
        <v>14.4</v>
      </c>
      <c r="AG31" s="8">
        <v>1</v>
      </c>
      <c r="AH31" s="8">
        <f>$AH$30 *AC31/ $AC$30</f>
        <v>11000</v>
      </c>
    </row>
    <row r="32" spans="1:34" ht="25" customHeight="1" outlineLevel="1" x14ac:dyDescent="0.35">
      <c r="B32" s="151"/>
      <c r="C32" s="151"/>
      <c r="D32" s="151"/>
      <c r="E32" s="3" t="s">
        <v>109</v>
      </c>
      <c r="F32" s="31" t="s">
        <v>21</v>
      </c>
      <c r="G32" s="35"/>
      <c r="H32" s="57" t="str">
        <f t="shared" si="6"/>
        <v/>
      </c>
      <c r="I32" s="57" t="str">
        <f t="shared" si="7"/>
        <v/>
      </c>
      <c r="J32" s="58" t="str">
        <f t="shared" si="8"/>
        <v/>
      </c>
      <c r="K32" s="3"/>
      <c r="L32" s="42"/>
      <c r="U32" s="121" t="str" cm="1">
        <f t="array" ref="U32">IF(C32="",INDEX(C28:C32,MATCH(TRUE,INDEX((C28:C32&lt;&gt;""),0),0)),C32)</f>
        <v>Britoil 61</v>
      </c>
      <c r="V32" s="122">
        <f t="shared" si="3"/>
        <v>1.3</v>
      </c>
      <c r="W32" s="122">
        <v>32000</v>
      </c>
      <c r="X32" s="122"/>
      <c r="Y32" s="122">
        <f t="shared" si="4"/>
        <v>32083</v>
      </c>
      <c r="Z32" s="123"/>
      <c r="AB32" s="8" t="s">
        <v>16</v>
      </c>
      <c r="AC32" s="120">
        <v>11000</v>
      </c>
      <c r="AD32" s="8">
        <v>150</v>
      </c>
      <c r="AE32" s="8" t="s">
        <v>213</v>
      </c>
      <c r="AF32" s="8">
        <v>13.6</v>
      </c>
      <c r="AG32" s="8">
        <v>0.94405594400000004</v>
      </c>
      <c r="AH32" s="8">
        <f t="shared" ref="AH32:AH97" si="9">$AH$30 *AC32/ $AC$30</f>
        <v>33611.111111111109</v>
      </c>
    </row>
    <row r="33" spans="1:34" ht="25" customHeight="1" outlineLevel="1" x14ac:dyDescent="0.35">
      <c r="B33" s="152"/>
      <c r="C33" s="152"/>
      <c r="D33" s="152"/>
      <c r="E33" s="4" t="s">
        <v>14</v>
      </c>
      <c r="F33" s="31" t="s">
        <v>17</v>
      </c>
      <c r="G33" s="35"/>
      <c r="H33" s="57">
        <f t="shared" si="6"/>
        <v>3250</v>
      </c>
      <c r="I33" s="57">
        <f t="shared" si="7"/>
        <v>4160</v>
      </c>
      <c r="J33" s="58">
        <f t="shared" si="8"/>
        <v>14.3</v>
      </c>
      <c r="K33" s="3"/>
      <c r="L33" s="43"/>
      <c r="U33" s="121" t="str" cm="1">
        <f t="array" ref="U33">IF(C33="",INDEX(C29:C33,MATCH(TRUE,INDEX((C29:C33&lt;&gt;""),0),0)),C33)</f>
        <v>Britoil 61</v>
      </c>
      <c r="V33" s="122">
        <f t="shared" si="3"/>
        <v>1.3</v>
      </c>
      <c r="W33" s="122">
        <v>32000</v>
      </c>
      <c r="X33" s="122"/>
      <c r="Y33" s="122">
        <f t="shared" si="4"/>
        <v>32083</v>
      </c>
      <c r="Z33" s="123"/>
      <c r="AB33" s="8" t="s">
        <v>18</v>
      </c>
      <c r="AC33" s="120">
        <v>10500</v>
      </c>
      <c r="AD33" s="8">
        <v>130</v>
      </c>
      <c r="AE33" s="8" t="s">
        <v>214</v>
      </c>
      <c r="AF33" s="8">
        <v>12.4</v>
      </c>
      <c r="AG33" s="8">
        <v>0.85714285700000004</v>
      </c>
      <c r="AH33" s="8">
        <f t="shared" si="9"/>
        <v>32083.333333333332</v>
      </c>
    </row>
    <row r="34" spans="1:34" ht="30" customHeight="1" x14ac:dyDescent="0.35">
      <c r="A34" s="8" t="s">
        <v>136</v>
      </c>
      <c r="B34" s="153">
        <v>6</v>
      </c>
      <c r="C34" s="153" t="s">
        <v>20</v>
      </c>
      <c r="D34" s="153" t="s">
        <v>12</v>
      </c>
      <c r="E34" s="27" t="s">
        <v>105</v>
      </c>
      <c r="F34" s="32"/>
      <c r="G34" s="36"/>
      <c r="H34" s="59" t="str">
        <f t="shared" si="6"/>
        <v/>
      </c>
      <c r="I34" s="59" t="str">
        <f t="shared" si="7"/>
        <v/>
      </c>
      <c r="J34" s="60" t="str">
        <f t="shared" si="8"/>
        <v/>
      </c>
      <c r="K34" s="5"/>
      <c r="L34" s="44"/>
      <c r="U34" s="121" t="str" cm="1">
        <f t="array" ref="U34">IF(C34="",INDEX(C30:C34,MATCH(TRUE,INDEX((C30:C34&lt;&gt;""),0),0)),C34)</f>
        <v>Britoil 62</v>
      </c>
      <c r="V34" s="122">
        <f t="shared" si="3"/>
        <v>0.77146063213016647</v>
      </c>
      <c r="W34" s="122">
        <v>16000</v>
      </c>
      <c r="X34" s="122"/>
      <c r="Y34" s="122">
        <f t="shared" si="4"/>
        <v>16500</v>
      </c>
      <c r="Z34" s="123"/>
      <c r="AB34" s="8" t="s">
        <v>19</v>
      </c>
      <c r="AC34" s="120">
        <v>10500</v>
      </c>
      <c r="AD34" s="8">
        <v>130</v>
      </c>
      <c r="AE34" s="8" t="s">
        <v>214</v>
      </c>
      <c r="AF34" s="8">
        <v>12.4</v>
      </c>
      <c r="AG34" s="8">
        <v>0.85714285700000004</v>
      </c>
      <c r="AH34" s="8">
        <f t="shared" si="9"/>
        <v>32083.333333333332</v>
      </c>
    </row>
    <row r="35" spans="1:34" ht="25" customHeight="1" outlineLevel="1" x14ac:dyDescent="0.35">
      <c r="B35" s="154"/>
      <c r="C35" s="154"/>
      <c r="D35" s="154"/>
      <c r="E35" s="6" t="s">
        <v>13</v>
      </c>
      <c r="F35" s="32" t="s">
        <v>17</v>
      </c>
      <c r="G35" s="37"/>
      <c r="H35" s="61">
        <f t="shared" si="6"/>
        <v>8486.0669534318313</v>
      </c>
      <c r="I35" s="61">
        <f t="shared" si="7"/>
        <v>2468.6740228165327</v>
      </c>
      <c r="J35" s="62">
        <f t="shared" si="8"/>
        <v>49.373480456330654</v>
      </c>
      <c r="K35" s="6"/>
      <c r="L35" s="45"/>
      <c r="U35" s="121" t="str" cm="1">
        <f t="array" ref="U35">IF(C35="",INDEX(C32:C35,MATCH(TRUE,INDEX((C32:C35&lt;&gt;""),0),0)),C35)</f>
        <v>Britoil 62</v>
      </c>
      <c r="V35" s="122">
        <f t="shared" si="3"/>
        <v>0.77146063213016647</v>
      </c>
      <c r="W35" s="122">
        <v>16000</v>
      </c>
      <c r="X35" s="122"/>
      <c r="Y35" s="122">
        <f t="shared" si="4"/>
        <v>16500</v>
      </c>
      <c r="Z35" s="123"/>
      <c r="AB35" s="8" t="s">
        <v>20</v>
      </c>
      <c r="AC35" s="120">
        <v>5400</v>
      </c>
      <c r="AD35" s="8">
        <v>70</v>
      </c>
      <c r="AE35" s="8" t="s">
        <v>215</v>
      </c>
      <c r="AF35" s="8">
        <v>13</v>
      </c>
      <c r="AG35" s="8">
        <v>0.89743589700000004</v>
      </c>
      <c r="AH35" s="8">
        <f t="shared" si="9"/>
        <v>16500</v>
      </c>
    </row>
    <row r="36" spans="1:34" ht="25" customHeight="1" outlineLevel="1" x14ac:dyDescent="0.35">
      <c r="B36" s="154"/>
      <c r="C36" s="154"/>
      <c r="D36" s="154"/>
      <c r="E36" s="6" t="s">
        <v>112</v>
      </c>
      <c r="F36" s="32" t="s">
        <v>21</v>
      </c>
      <c r="G36" s="37"/>
      <c r="H36" s="61" t="str">
        <f t="shared" si="6"/>
        <v/>
      </c>
      <c r="I36" s="61" t="str">
        <f t="shared" si="7"/>
        <v/>
      </c>
      <c r="J36" s="62" t="str">
        <f t="shared" si="8"/>
        <v/>
      </c>
      <c r="K36" s="6"/>
      <c r="L36" s="45"/>
      <c r="U36" s="121" t="str" cm="1">
        <f t="array" ref="U36">IF(C36="",INDEX(C33:C36,MATCH(TRUE,INDEX((C33:C36&lt;&gt;""),0),0)),C36)</f>
        <v>Britoil 62</v>
      </c>
      <c r="V36" s="122">
        <f t="shared" si="3"/>
        <v>0.77146063213016647</v>
      </c>
      <c r="W36" s="122">
        <v>16000</v>
      </c>
      <c r="X36" s="122"/>
      <c r="Y36" s="122">
        <f t="shared" si="4"/>
        <v>16500</v>
      </c>
      <c r="Z36" s="123"/>
      <c r="AB36" s="8" t="s">
        <v>22</v>
      </c>
      <c r="AC36" s="120">
        <v>5400</v>
      </c>
      <c r="AD36" s="8">
        <v>70</v>
      </c>
      <c r="AE36" s="8" t="s">
        <v>215</v>
      </c>
      <c r="AF36" s="8">
        <v>13</v>
      </c>
      <c r="AG36" s="8">
        <v>0.89743589700000004</v>
      </c>
      <c r="AH36" s="8">
        <f t="shared" si="9"/>
        <v>16500</v>
      </c>
    </row>
    <row r="37" spans="1:34" ht="25" customHeight="1" outlineLevel="1" x14ac:dyDescent="0.35">
      <c r="B37" s="154"/>
      <c r="C37" s="154"/>
      <c r="D37" s="154"/>
      <c r="E37" s="6" t="s">
        <v>109</v>
      </c>
      <c r="F37" s="32" t="s">
        <v>21</v>
      </c>
      <c r="G37" s="37"/>
      <c r="H37" s="61" t="str">
        <f t="shared" si="6"/>
        <v/>
      </c>
      <c r="I37" s="61" t="str">
        <f t="shared" si="7"/>
        <v/>
      </c>
      <c r="J37" s="62" t="str">
        <f t="shared" si="8"/>
        <v/>
      </c>
      <c r="K37" s="6"/>
      <c r="L37" s="45"/>
      <c r="U37" s="121" t="str" cm="1">
        <f t="array" ref="U37">IF(C37="",INDEX(C33:C37,MATCH(TRUE,INDEX((C33:C37&lt;&gt;""),0),0)),C37)</f>
        <v>Britoil 62</v>
      </c>
      <c r="V37" s="122">
        <f t="shared" si="3"/>
        <v>0.77146063213016647</v>
      </c>
      <c r="W37" s="122">
        <v>16000</v>
      </c>
      <c r="X37" s="122"/>
      <c r="Y37" s="122">
        <f t="shared" si="4"/>
        <v>16500</v>
      </c>
      <c r="Z37" s="123"/>
      <c r="AB37" s="8" t="s">
        <v>23</v>
      </c>
      <c r="AC37" s="120">
        <v>5400</v>
      </c>
      <c r="AD37" s="8">
        <v>70</v>
      </c>
      <c r="AE37" s="8" t="s">
        <v>215</v>
      </c>
      <c r="AF37" s="8">
        <v>13</v>
      </c>
      <c r="AG37" s="8">
        <v>0.89743589700000004</v>
      </c>
      <c r="AH37" s="8">
        <f t="shared" si="9"/>
        <v>16500</v>
      </c>
    </row>
    <row r="38" spans="1:34" ht="25" customHeight="1" outlineLevel="1" x14ac:dyDescent="0.35">
      <c r="B38" s="155"/>
      <c r="C38" s="155"/>
      <c r="D38" s="155"/>
      <c r="E38" s="7" t="s">
        <v>14</v>
      </c>
      <c r="F38" s="32" t="s">
        <v>17</v>
      </c>
      <c r="G38" s="38"/>
      <c r="H38" s="63">
        <f t="shared" si="6"/>
        <v>1928.6515803254163</v>
      </c>
      <c r="I38" s="63">
        <f t="shared" si="7"/>
        <v>2468.6740228165327</v>
      </c>
      <c r="J38" s="64">
        <f t="shared" si="8"/>
        <v>8.4860669534318305</v>
      </c>
      <c r="K38" s="7"/>
      <c r="L38" s="46"/>
      <c r="U38" s="121" t="str" cm="1">
        <f t="array" ref="U38">IF(C38="",INDEX(C34:C38,MATCH(TRUE,INDEX((C34:C38&lt;&gt;""),0),0)),C38)</f>
        <v>Britoil 62</v>
      </c>
      <c r="V38" s="122">
        <f t="shared" si="3"/>
        <v>0.77146063213016647</v>
      </c>
      <c r="W38" s="122">
        <v>16000</v>
      </c>
      <c r="X38" s="122"/>
      <c r="Y38" s="122">
        <f t="shared" si="4"/>
        <v>16500</v>
      </c>
      <c r="Z38" s="123"/>
      <c r="AB38" s="8" t="s">
        <v>24</v>
      </c>
      <c r="AC38" s="120">
        <v>5400</v>
      </c>
      <c r="AD38" s="8">
        <v>70</v>
      </c>
      <c r="AE38" s="8" t="s">
        <v>215</v>
      </c>
      <c r="AF38" s="8">
        <v>13</v>
      </c>
      <c r="AG38" s="8">
        <v>0.89743589700000004</v>
      </c>
      <c r="AH38" s="8">
        <f t="shared" si="9"/>
        <v>16500</v>
      </c>
    </row>
    <row r="39" spans="1:34" ht="30" customHeight="1" x14ac:dyDescent="0.35">
      <c r="A39" s="8" t="s">
        <v>136</v>
      </c>
      <c r="B39" s="150">
        <v>7</v>
      </c>
      <c r="C39" s="150" t="s">
        <v>22</v>
      </c>
      <c r="D39" s="150" t="s">
        <v>12</v>
      </c>
      <c r="E39" s="26" t="s">
        <v>105</v>
      </c>
      <c r="F39" s="31"/>
      <c r="G39" s="35"/>
      <c r="H39" s="57" t="str">
        <f t="shared" si="6"/>
        <v/>
      </c>
      <c r="I39" s="57" t="str">
        <f t="shared" si="7"/>
        <v/>
      </c>
      <c r="J39" s="58" t="str">
        <f t="shared" si="8"/>
        <v/>
      </c>
      <c r="K39" s="3"/>
      <c r="L39" s="41"/>
      <c r="U39" s="121" t="str" cm="1">
        <f t="array" ref="U39">IF(C39="",INDEX(C35:C39,MATCH(TRUE,INDEX((C35:C39&lt;&gt;""),0),0)),C39)</f>
        <v>Britoil 63</v>
      </c>
      <c r="V39" s="122">
        <f t="shared" si="3"/>
        <v>0.77146063213016647</v>
      </c>
      <c r="W39" s="122">
        <v>16000</v>
      </c>
      <c r="X39" s="122"/>
      <c r="Y39" s="122">
        <f t="shared" si="4"/>
        <v>16500</v>
      </c>
      <c r="Z39" s="123"/>
      <c r="AB39" s="8" t="s">
        <v>25</v>
      </c>
      <c r="AC39" s="120">
        <v>5400</v>
      </c>
      <c r="AD39" s="8">
        <v>70</v>
      </c>
      <c r="AE39" s="8" t="s">
        <v>215</v>
      </c>
      <c r="AF39" s="8">
        <v>13</v>
      </c>
      <c r="AG39" s="8">
        <v>0.89743589700000004</v>
      </c>
      <c r="AH39" s="8">
        <f t="shared" si="9"/>
        <v>16500</v>
      </c>
    </row>
    <row r="40" spans="1:34" ht="25" customHeight="1" outlineLevel="1" x14ac:dyDescent="0.35">
      <c r="B40" s="151"/>
      <c r="C40" s="151"/>
      <c r="D40" s="151"/>
      <c r="E40" s="3" t="s">
        <v>13</v>
      </c>
      <c r="F40" s="31" t="s">
        <v>17</v>
      </c>
      <c r="G40" s="35"/>
      <c r="H40" s="57">
        <f t="shared" si="6"/>
        <v>8486.0669534318313</v>
      </c>
      <c r="I40" s="57">
        <f t="shared" si="7"/>
        <v>2468.6740228165327</v>
      </c>
      <c r="J40" s="58">
        <f t="shared" si="8"/>
        <v>49.373480456330654</v>
      </c>
      <c r="K40" s="3"/>
      <c r="L40" s="42"/>
      <c r="U40" s="121" t="str" cm="1">
        <f t="array" ref="U40">IF(C40="",INDEX(C37:C40,MATCH(TRUE,INDEX((C37:C40&lt;&gt;""),0),0)),C40)</f>
        <v>Britoil 63</v>
      </c>
      <c r="V40" s="122">
        <f t="shared" si="3"/>
        <v>0.77146063213016647</v>
      </c>
      <c r="W40" s="122">
        <v>16000</v>
      </c>
      <c r="X40" s="122"/>
      <c r="Y40" s="122">
        <f t="shared" si="4"/>
        <v>16500</v>
      </c>
      <c r="Z40" s="123"/>
      <c r="AB40" s="8" t="s">
        <v>26</v>
      </c>
      <c r="AC40" s="120">
        <v>5400</v>
      </c>
      <c r="AD40" s="8">
        <v>70</v>
      </c>
      <c r="AE40" s="8" t="s">
        <v>215</v>
      </c>
      <c r="AF40" s="8">
        <v>13</v>
      </c>
      <c r="AG40" s="8">
        <v>0.89743589700000004</v>
      </c>
      <c r="AH40" s="8">
        <f t="shared" si="9"/>
        <v>16500</v>
      </c>
    </row>
    <row r="41" spans="1:34" ht="25" customHeight="1" outlineLevel="1" x14ac:dyDescent="0.35">
      <c r="B41" s="151"/>
      <c r="C41" s="151"/>
      <c r="D41" s="151"/>
      <c r="E41" s="3" t="s">
        <v>112</v>
      </c>
      <c r="F41" s="31" t="s">
        <v>21</v>
      </c>
      <c r="G41" s="35"/>
      <c r="H41" s="57" t="str">
        <f t="shared" si="6"/>
        <v/>
      </c>
      <c r="I41" s="57" t="str">
        <f t="shared" si="7"/>
        <v/>
      </c>
      <c r="J41" s="58" t="str">
        <f t="shared" si="8"/>
        <v/>
      </c>
      <c r="K41" s="3"/>
      <c r="L41" s="42"/>
      <c r="U41" s="121" t="str" cm="1">
        <f t="array" ref="U41">IF(C41="",INDEX(C38:C41,MATCH(TRUE,INDEX((C38:C41&lt;&gt;""),0),0)),C41)</f>
        <v>Britoil 63</v>
      </c>
      <c r="V41" s="122">
        <f t="shared" si="3"/>
        <v>0.77146063213016647</v>
      </c>
      <c r="W41" s="122">
        <v>16000</v>
      </c>
      <c r="X41" s="122"/>
      <c r="Y41" s="122">
        <f t="shared" si="4"/>
        <v>16500</v>
      </c>
      <c r="Z41" s="123"/>
      <c r="AB41" s="8" t="s">
        <v>27</v>
      </c>
      <c r="AC41" s="120">
        <v>7216</v>
      </c>
      <c r="AD41" s="8">
        <v>100</v>
      </c>
      <c r="AE41" s="8" t="s">
        <v>216</v>
      </c>
      <c r="AF41" s="8">
        <v>13.9</v>
      </c>
      <c r="AG41" s="8">
        <v>0.959406447</v>
      </c>
      <c r="AH41" s="8">
        <f t="shared" si="9"/>
        <v>22048.888888888891</v>
      </c>
    </row>
    <row r="42" spans="1:34" ht="25" customHeight="1" outlineLevel="1" x14ac:dyDescent="0.35">
      <c r="B42" s="151"/>
      <c r="C42" s="151"/>
      <c r="D42" s="151"/>
      <c r="E42" s="3" t="s">
        <v>109</v>
      </c>
      <c r="F42" s="31" t="s">
        <v>21</v>
      </c>
      <c r="G42" s="35"/>
      <c r="H42" s="57" t="str">
        <f t="shared" si="6"/>
        <v/>
      </c>
      <c r="I42" s="57" t="str">
        <f t="shared" si="7"/>
        <v/>
      </c>
      <c r="J42" s="58" t="str">
        <f t="shared" si="8"/>
        <v/>
      </c>
      <c r="K42" s="3"/>
      <c r="L42" s="42"/>
      <c r="U42" s="121" t="str" cm="1">
        <f t="array" ref="U42">IF(C42="",INDEX(C38:C42,MATCH(TRUE,INDEX((C38:C42&lt;&gt;""),0),0)),C42)</f>
        <v>Britoil 63</v>
      </c>
      <c r="V42" s="122">
        <f t="shared" si="3"/>
        <v>0.77146063213016647</v>
      </c>
      <c r="W42" s="122">
        <v>16000</v>
      </c>
      <c r="X42" s="122"/>
      <c r="Y42" s="122">
        <f t="shared" si="4"/>
        <v>16500</v>
      </c>
      <c r="Z42" s="123"/>
      <c r="AB42" s="8" t="s">
        <v>28</v>
      </c>
      <c r="AC42" s="120">
        <v>7216</v>
      </c>
      <c r="AD42" s="8">
        <v>100</v>
      </c>
      <c r="AE42" s="8" t="s">
        <v>216</v>
      </c>
      <c r="AF42" s="8">
        <v>13.9</v>
      </c>
      <c r="AG42" s="8">
        <v>0.959406447</v>
      </c>
      <c r="AH42" s="8">
        <f t="shared" si="9"/>
        <v>22048.888888888891</v>
      </c>
    </row>
    <row r="43" spans="1:34" ht="25" customHeight="1" outlineLevel="1" x14ac:dyDescent="0.35">
      <c r="B43" s="152"/>
      <c r="C43" s="152"/>
      <c r="D43" s="152"/>
      <c r="E43" s="4" t="s">
        <v>14</v>
      </c>
      <c r="F43" s="31" t="s">
        <v>17</v>
      </c>
      <c r="G43" s="35"/>
      <c r="H43" s="57">
        <f t="shared" si="6"/>
        <v>1928.6515803254163</v>
      </c>
      <c r="I43" s="57">
        <f t="shared" si="7"/>
        <v>2468.6740228165327</v>
      </c>
      <c r="J43" s="58">
        <f t="shared" si="8"/>
        <v>8.4860669534318305</v>
      </c>
      <c r="K43" s="3"/>
      <c r="L43" s="43"/>
      <c r="U43" s="121" t="str" cm="1">
        <f t="array" ref="U43">IF(C43="",INDEX(C39:C43,MATCH(TRUE,INDEX((C39:C43&lt;&gt;""),0),0)),C43)</f>
        <v>Britoil 63</v>
      </c>
      <c r="V43" s="122">
        <f t="shared" si="3"/>
        <v>0.77146063213016647</v>
      </c>
      <c r="W43" s="122">
        <v>16000</v>
      </c>
      <c r="X43" s="122"/>
      <c r="Y43" s="122">
        <f t="shared" si="4"/>
        <v>16500</v>
      </c>
      <c r="Z43" s="123"/>
      <c r="AB43" s="8" t="s">
        <v>29</v>
      </c>
      <c r="AC43" s="120">
        <v>7216</v>
      </c>
      <c r="AD43" s="8">
        <v>100</v>
      </c>
      <c r="AE43" s="8" t="s">
        <v>216</v>
      </c>
      <c r="AF43" s="8">
        <v>13.9</v>
      </c>
      <c r="AG43" s="8">
        <v>0.959406447</v>
      </c>
      <c r="AH43" s="8">
        <f t="shared" si="9"/>
        <v>22048.888888888891</v>
      </c>
    </row>
    <row r="44" spans="1:34" ht="30" customHeight="1" x14ac:dyDescent="0.35">
      <c r="A44" s="8" t="s">
        <v>136</v>
      </c>
      <c r="B44" s="153">
        <v>8</v>
      </c>
      <c r="C44" s="153" t="s">
        <v>23</v>
      </c>
      <c r="D44" s="153" t="s">
        <v>12</v>
      </c>
      <c r="E44" s="27" t="s">
        <v>105</v>
      </c>
      <c r="F44" s="32"/>
      <c r="G44" s="36"/>
      <c r="H44" s="59" t="str">
        <f t="shared" si="6"/>
        <v/>
      </c>
      <c r="I44" s="59" t="str">
        <f t="shared" si="7"/>
        <v/>
      </c>
      <c r="J44" s="60" t="str">
        <f t="shared" si="8"/>
        <v/>
      </c>
      <c r="K44" s="5"/>
      <c r="L44" s="44"/>
      <c r="U44" s="121" t="str" cm="1">
        <f t="array" ref="U44">IF(C44="",INDEX(C40:C44,MATCH(TRUE,INDEX((C40:C44&lt;&gt;""),0),0)),C44)</f>
        <v>Britoil 64</v>
      </c>
      <c r="V44" s="122">
        <f t="shared" si="3"/>
        <v>0.77146063213016647</v>
      </c>
      <c r="W44" s="122">
        <v>16000</v>
      </c>
      <c r="X44" s="122"/>
      <c r="Y44" s="122">
        <f t="shared" si="4"/>
        <v>16500</v>
      </c>
      <c r="Z44" s="123"/>
      <c r="AB44" s="8" t="s">
        <v>30</v>
      </c>
      <c r="AC44" s="120">
        <v>7268</v>
      </c>
      <c r="AD44" s="8">
        <v>100</v>
      </c>
      <c r="AE44" s="8" t="s">
        <v>217</v>
      </c>
      <c r="AF44" s="8">
        <v>13.8</v>
      </c>
      <c r="AG44" s="8">
        <v>0.95254222899999996</v>
      </c>
      <c r="AH44" s="8">
        <f t="shared" si="9"/>
        <v>22207.777777777777</v>
      </c>
    </row>
    <row r="45" spans="1:34" ht="25" customHeight="1" outlineLevel="1" x14ac:dyDescent="0.35">
      <c r="B45" s="154"/>
      <c r="C45" s="154"/>
      <c r="D45" s="154"/>
      <c r="E45" s="6" t="s">
        <v>13</v>
      </c>
      <c r="F45" s="32" t="s">
        <v>17</v>
      </c>
      <c r="G45" s="37"/>
      <c r="H45" s="61">
        <f t="shared" si="6"/>
        <v>8486.0669534318313</v>
      </c>
      <c r="I45" s="61">
        <f t="shared" si="7"/>
        <v>2468.6740228165327</v>
      </c>
      <c r="J45" s="62">
        <f t="shared" si="8"/>
        <v>49.373480456330654</v>
      </c>
      <c r="K45" s="6"/>
      <c r="L45" s="45"/>
      <c r="U45" s="121" t="str" cm="1">
        <f t="array" ref="U45">IF(C45="",INDEX(C42:C45,MATCH(TRUE,INDEX((C42:C45&lt;&gt;""),0),0)),C45)</f>
        <v>Britoil 64</v>
      </c>
      <c r="V45" s="122">
        <f t="shared" si="3"/>
        <v>0.77146063213016647</v>
      </c>
      <c r="W45" s="122">
        <v>16000</v>
      </c>
      <c r="X45" s="122"/>
      <c r="Y45" s="122">
        <f t="shared" si="4"/>
        <v>16500</v>
      </c>
      <c r="Z45" s="123"/>
      <c r="AB45" s="8" t="s">
        <v>31</v>
      </c>
      <c r="AC45" s="120">
        <v>7268</v>
      </c>
      <c r="AD45" s="8">
        <v>100</v>
      </c>
      <c r="AE45" s="8" t="s">
        <v>217</v>
      </c>
      <c r="AF45" s="8">
        <v>13.8</v>
      </c>
      <c r="AG45" s="8">
        <v>0.95254222899999996</v>
      </c>
      <c r="AH45" s="8">
        <f t="shared" si="9"/>
        <v>22207.777777777777</v>
      </c>
    </row>
    <row r="46" spans="1:34" ht="25" customHeight="1" outlineLevel="1" x14ac:dyDescent="0.35">
      <c r="B46" s="154"/>
      <c r="C46" s="154"/>
      <c r="D46" s="154"/>
      <c r="E46" s="6" t="s">
        <v>112</v>
      </c>
      <c r="F46" s="32" t="s">
        <v>21</v>
      </c>
      <c r="G46" s="37"/>
      <c r="H46" s="61" t="str">
        <f t="shared" si="6"/>
        <v/>
      </c>
      <c r="I46" s="61" t="str">
        <f t="shared" si="7"/>
        <v/>
      </c>
      <c r="J46" s="62" t="str">
        <f t="shared" si="8"/>
        <v/>
      </c>
      <c r="K46" s="6"/>
      <c r="L46" s="45"/>
      <c r="U46" s="121" t="str" cm="1">
        <f t="array" ref="U46">IF(C46="",INDEX(C43:C46,MATCH(TRUE,INDEX((C43:C46&lt;&gt;""),0),0)),C46)</f>
        <v>Britoil 64</v>
      </c>
      <c r="V46" s="122">
        <f t="shared" si="3"/>
        <v>0.77146063213016647</v>
      </c>
      <c r="W46" s="122">
        <v>16000</v>
      </c>
      <c r="X46" s="122"/>
      <c r="Y46" s="122">
        <f t="shared" si="4"/>
        <v>16500</v>
      </c>
      <c r="Z46" s="123"/>
      <c r="AB46" s="8" t="s">
        <v>33</v>
      </c>
      <c r="AC46" s="120">
        <v>8000</v>
      </c>
      <c r="AD46" s="8">
        <v>110</v>
      </c>
      <c r="AE46" s="8" t="s">
        <v>218</v>
      </c>
      <c r="AF46" s="8">
        <v>13.8</v>
      </c>
      <c r="AG46" s="8">
        <v>0.95192307700000001</v>
      </c>
      <c r="AH46" s="8">
        <f t="shared" si="9"/>
        <v>24444.444444444445</v>
      </c>
    </row>
    <row r="47" spans="1:34" ht="25" customHeight="1" outlineLevel="1" x14ac:dyDescent="0.35">
      <c r="B47" s="154"/>
      <c r="C47" s="154"/>
      <c r="D47" s="154"/>
      <c r="E47" s="6" t="s">
        <v>109</v>
      </c>
      <c r="F47" s="32" t="s">
        <v>21</v>
      </c>
      <c r="G47" s="37"/>
      <c r="H47" s="61" t="str">
        <f t="shared" si="6"/>
        <v/>
      </c>
      <c r="I47" s="61" t="str">
        <f t="shared" si="7"/>
        <v/>
      </c>
      <c r="J47" s="62" t="str">
        <f t="shared" si="8"/>
        <v/>
      </c>
      <c r="K47" s="6"/>
      <c r="L47" s="45"/>
      <c r="U47" s="121" t="str" cm="1">
        <f t="array" ref="U47">IF(C47="",INDEX(C43:C47,MATCH(TRUE,INDEX((C43:C47&lt;&gt;""),0),0)),C47)</f>
        <v>Britoil 64</v>
      </c>
      <c r="V47" s="122">
        <f t="shared" si="3"/>
        <v>0.77146063213016647</v>
      </c>
      <c r="W47" s="122">
        <v>16000</v>
      </c>
      <c r="X47" s="122"/>
      <c r="Y47" s="122">
        <f t="shared" si="4"/>
        <v>16500</v>
      </c>
      <c r="Z47" s="123"/>
      <c r="AB47" s="8" t="s">
        <v>35</v>
      </c>
      <c r="AC47" s="120">
        <v>8000</v>
      </c>
      <c r="AD47" s="8">
        <v>110</v>
      </c>
      <c r="AE47" s="8" t="s">
        <v>218</v>
      </c>
      <c r="AF47" s="8">
        <v>13.8</v>
      </c>
      <c r="AG47" s="8">
        <v>0.95192307700000001</v>
      </c>
      <c r="AH47" s="8">
        <f t="shared" si="9"/>
        <v>24444.444444444445</v>
      </c>
    </row>
    <row r="48" spans="1:34" ht="25" customHeight="1" outlineLevel="1" x14ac:dyDescent="0.35">
      <c r="B48" s="155"/>
      <c r="C48" s="155"/>
      <c r="D48" s="155"/>
      <c r="E48" s="7" t="s">
        <v>14</v>
      </c>
      <c r="F48" s="32" t="s">
        <v>32</v>
      </c>
      <c r="G48" s="38"/>
      <c r="H48" s="63" t="str">
        <f t="shared" si="6"/>
        <v/>
      </c>
      <c r="I48" s="63" t="str">
        <f t="shared" si="7"/>
        <v/>
      </c>
      <c r="J48" s="64" t="str">
        <f t="shared" si="8"/>
        <v/>
      </c>
      <c r="K48" s="7"/>
      <c r="L48" s="46"/>
      <c r="U48" s="121" t="str" cm="1">
        <f t="array" ref="U48">IF(C48="",INDEX(C44:C48,MATCH(TRUE,INDEX((C44:C48&lt;&gt;""),0),0)),C48)</f>
        <v>Britoil 64</v>
      </c>
      <c r="V48" s="122">
        <f t="shared" si="3"/>
        <v>0.77146063213016647</v>
      </c>
      <c r="W48" s="122">
        <v>16000</v>
      </c>
      <c r="X48" s="122"/>
      <c r="Y48" s="122">
        <f t="shared" si="4"/>
        <v>16500</v>
      </c>
      <c r="Z48" s="123"/>
      <c r="AB48" s="8" t="s">
        <v>36</v>
      </c>
      <c r="AC48" s="120">
        <v>8000</v>
      </c>
      <c r="AD48" s="8">
        <v>106</v>
      </c>
      <c r="AE48" s="8" t="s">
        <v>219</v>
      </c>
      <c r="AF48" s="8">
        <v>13.3</v>
      </c>
      <c r="AG48" s="8">
        <v>0.91730769199999995</v>
      </c>
      <c r="AH48" s="8">
        <f t="shared" si="9"/>
        <v>24444.444444444445</v>
      </c>
    </row>
    <row r="49" spans="1:34" ht="30" customHeight="1" x14ac:dyDescent="0.35">
      <c r="A49" s="8" t="s">
        <v>136</v>
      </c>
      <c r="B49" s="150">
        <v>9</v>
      </c>
      <c r="C49" s="150" t="s">
        <v>24</v>
      </c>
      <c r="D49" s="150" t="s">
        <v>12</v>
      </c>
      <c r="E49" s="26" t="s">
        <v>105</v>
      </c>
      <c r="F49" s="31"/>
      <c r="G49" s="35"/>
      <c r="H49" s="57" t="str">
        <f t="shared" si="6"/>
        <v/>
      </c>
      <c r="I49" s="57" t="str">
        <f t="shared" si="7"/>
        <v/>
      </c>
      <c r="J49" s="58" t="str">
        <f t="shared" si="8"/>
        <v/>
      </c>
      <c r="K49" s="3"/>
      <c r="L49" s="41"/>
      <c r="U49" s="121" t="str" cm="1">
        <f t="array" ref="U49">IF(C49="",INDEX(C45:C49,MATCH(TRUE,INDEX((C45:C49&lt;&gt;""),0),0)),C49)</f>
        <v>Britoil 65</v>
      </c>
      <c r="V49" s="122">
        <f t="shared" si="3"/>
        <v>0.77146063213016647</v>
      </c>
      <c r="W49" s="122">
        <v>16000</v>
      </c>
      <c r="X49" s="122"/>
      <c r="Y49" s="122">
        <f t="shared" si="4"/>
        <v>16500</v>
      </c>
      <c r="Z49" s="123"/>
      <c r="AB49" s="8" t="s">
        <v>37</v>
      </c>
      <c r="AC49" s="120">
        <v>12240</v>
      </c>
      <c r="AD49" s="8">
        <v>155</v>
      </c>
      <c r="AE49" s="8" t="s">
        <v>220</v>
      </c>
      <c r="AF49" s="8">
        <v>12.7</v>
      </c>
      <c r="AG49" s="8">
        <v>0.87669683300000001</v>
      </c>
      <c r="AH49" s="8">
        <f t="shared" si="9"/>
        <v>37400</v>
      </c>
    </row>
    <row r="50" spans="1:34" ht="25" customHeight="1" outlineLevel="1" x14ac:dyDescent="0.35">
      <c r="B50" s="151"/>
      <c r="C50" s="151"/>
      <c r="D50" s="151"/>
      <c r="E50" s="3" t="s">
        <v>13</v>
      </c>
      <c r="F50" s="31" t="s">
        <v>17</v>
      </c>
      <c r="G50" s="35"/>
      <c r="H50" s="57">
        <f t="shared" si="6"/>
        <v>8486.0669534318313</v>
      </c>
      <c r="I50" s="57">
        <f t="shared" si="7"/>
        <v>2468.6740228165327</v>
      </c>
      <c r="J50" s="58">
        <f t="shared" si="8"/>
        <v>49.373480456330654</v>
      </c>
      <c r="K50" s="3"/>
      <c r="L50" s="42"/>
      <c r="U50" s="121" t="str" cm="1">
        <f t="array" ref="U50">IF(C50="",INDEX(C47:C50,MATCH(TRUE,INDEX((C47:C50&lt;&gt;""),0),0)),C50)</f>
        <v>Britoil 65</v>
      </c>
      <c r="V50" s="122">
        <f t="shared" si="3"/>
        <v>0.77146063213016647</v>
      </c>
      <c r="W50" s="122">
        <v>16000</v>
      </c>
      <c r="X50" s="122"/>
      <c r="Y50" s="122">
        <f t="shared" si="4"/>
        <v>16500</v>
      </c>
      <c r="Z50" s="123"/>
      <c r="AB50" s="8" t="s">
        <v>39</v>
      </c>
      <c r="AC50" s="120">
        <v>12240</v>
      </c>
      <c r="AD50" s="8">
        <v>155</v>
      </c>
      <c r="AE50" s="8" t="s">
        <v>220</v>
      </c>
      <c r="AF50" s="8">
        <v>12.7</v>
      </c>
      <c r="AG50" s="8">
        <v>0.87669683300000001</v>
      </c>
      <c r="AH50" s="8">
        <f t="shared" si="9"/>
        <v>37400</v>
      </c>
    </row>
    <row r="51" spans="1:34" ht="25" customHeight="1" outlineLevel="1" x14ac:dyDescent="0.35">
      <c r="B51" s="151"/>
      <c r="C51" s="151"/>
      <c r="D51" s="151"/>
      <c r="E51" s="3" t="s">
        <v>112</v>
      </c>
      <c r="F51" s="31" t="s">
        <v>21</v>
      </c>
      <c r="G51" s="35"/>
      <c r="H51" s="57" t="str">
        <f t="shared" si="6"/>
        <v/>
      </c>
      <c r="I51" s="57" t="str">
        <f t="shared" si="7"/>
        <v/>
      </c>
      <c r="J51" s="58" t="str">
        <f t="shared" si="8"/>
        <v/>
      </c>
      <c r="K51" s="3"/>
      <c r="L51" s="42"/>
      <c r="U51" s="121" t="str" cm="1">
        <f t="array" ref="U51">IF(C51="",INDEX(C48:C51,MATCH(TRUE,INDEX((C48:C51&lt;&gt;""),0),0)),C51)</f>
        <v>Britoil 65</v>
      </c>
      <c r="V51" s="122">
        <f t="shared" si="3"/>
        <v>0.77146063213016647</v>
      </c>
      <c r="W51" s="122">
        <v>16000</v>
      </c>
      <c r="X51" s="122"/>
      <c r="Y51" s="122">
        <f t="shared" si="4"/>
        <v>16500</v>
      </c>
      <c r="Z51" s="123"/>
      <c r="AB51" s="8" t="s">
        <v>261</v>
      </c>
      <c r="AC51" s="120">
        <v>9000</v>
      </c>
      <c r="AD51" s="8">
        <v>85</v>
      </c>
      <c r="AE51" s="8" t="s">
        <v>221</v>
      </c>
      <c r="AF51" s="8">
        <v>9.4</v>
      </c>
      <c r="AG51" s="8">
        <v>0.65384615400000001</v>
      </c>
      <c r="AH51" s="8">
        <f t="shared" si="9"/>
        <v>27500</v>
      </c>
    </row>
    <row r="52" spans="1:34" ht="25" customHeight="1" outlineLevel="1" x14ac:dyDescent="0.35">
      <c r="B52" s="151"/>
      <c r="C52" s="151"/>
      <c r="D52" s="151"/>
      <c r="E52" s="3" t="s">
        <v>109</v>
      </c>
      <c r="F52" s="31" t="s">
        <v>21</v>
      </c>
      <c r="G52" s="35"/>
      <c r="H52" s="57" t="str">
        <f t="shared" si="6"/>
        <v/>
      </c>
      <c r="I52" s="57" t="str">
        <f t="shared" si="7"/>
        <v/>
      </c>
      <c r="J52" s="58" t="str">
        <f t="shared" si="8"/>
        <v/>
      </c>
      <c r="K52" s="3"/>
      <c r="L52" s="42"/>
      <c r="U52" s="121" t="str" cm="1">
        <f t="array" ref="U52">IF(C52="",INDEX(C48:C52,MATCH(TRUE,INDEX((C48:C52&lt;&gt;""),0),0)),C52)</f>
        <v>Britoil 65</v>
      </c>
      <c r="V52" s="122">
        <f t="shared" si="3"/>
        <v>0.77146063213016647</v>
      </c>
      <c r="W52" s="122">
        <v>16000</v>
      </c>
      <c r="X52" s="122"/>
      <c r="Y52" s="122">
        <f t="shared" si="4"/>
        <v>16500</v>
      </c>
      <c r="Z52" s="123"/>
      <c r="AB52" s="8" t="s">
        <v>40</v>
      </c>
      <c r="AC52" s="120">
        <v>6866</v>
      </c>
      <c r="AD52" s="8">
        <v>90.5</v>
      </c>
      <c r="AE52" s="8" t="s">
        <v>222</v>
      </c>
      <c r="AF52" s="8">
        <v>13.2</v>
      </c>
      <c r="AG52" s="8">
        <v>0.91252324699999998</v>
      </c>
      <c r="AH52" s="8">
        <f t="shared" si="9"/>
        <v>20979.444444444445</v>
      </c>
    </row>
    <row r="53" spans="1:34" ht="25" customHeight="1" outlineLevel="1" x14ac:dyDescent="0.35">
      <c r="B53" s="152"/>
      <c r="C53" s="152"/>
      <c r="D53" s="152"/>
      <c r="E53" s="4" t="s">
        <v>14</v>
      </c>
      <c r="F53" s="31" t="s">
        <v>32</v>
      </c>
      <c r="G53" s="35"/>
      <c r="H53" s="57" t="str">
        <f t="shared" si="6"/>
        <v/>
      </c>
      <c r="I53" s="57" t="str">
        <f t="shared" si="7"/>
        <v/>
      </c>
      <c r="J53" s="58" t="str">
        <f t="shared" si="8"/>
        <v/>
      </c>
      <c r="K53" s="3"/>
      <c r="L53" s="43"/>
      <c r="U53" s="121" t="str" cm="1">
        <f t="array" ref="U53">IF(C53="",INDEX(C49:C53,MATCH(TRUE,INDEX((C49:C53&lt;&gt;""),0),0)),C53)</f>
        <v>Britoil 65</v>
      </c>
      <c r="V53" s="122">
        <f t="shared" si="3"/>
        <v>0.77146063213016647</v>
      </c>
      <c r="W53" s="122">
        <v>16000</v>
      </c>
      <c r="X53" s="122"/>
      <c r="Y53" s="122">
        <f t="shared" si="4"/>
        <v>16500</v>
      </c>
      <c r="Z53" s="123"/>
      <c r="AB53" s="8" t="s">
        <v>42</v>
      </c>
      <c r="AC53" s="120">
        <v>7000</v>
      </c>
      <c r="AD53" s="8">
        <v>90</v>
      </c>
      <c r="AE53" s="8" t="s">
        <v>223</v>
      </c>
      <c r="AF53" s="8">
        <v>12.9</v>
      </c>
      <c r="AG53" s="8">
        <v>0.89010988999999996</v>
      </c>
      <c r="AH53" s="8">
        <f t="shared" si="9"/>
        <v>21388.888888888891</v>
      </c>
    </row>
    <row r="54" spans="1:34" ht="30" customHeight="1" x14ac:dyDescent="0.35">
      <c r="A54" s="8" t="s">
        <v>136</v>
      </c>
      <c r="B54" s="153">
        <v>10</v>
      </c>
      <c r="C54" s="153" t="s">
        <v>25</v>
      </c>
      <c r="D54" s="153" t="s">
        <v>12</v>
      </c>
      <c r="E54" s="27" t="s">
        <v>105</v>
      </c>
      <c r="F54" s="32"/>
      <c r="G54" s="36"/>
      <c r="H54" s="59" t="str">
        <f t="shared" si="6"/>
        <v/>
      </c>
      <c r="I54" s="59" t="str">
        <f t="shared" si="7"/>
        <v/>
      </c>
      <c r="J54" s="60" t="str">
        <f t="shared" si="8"/>
        <v/>
      </c>
      <c r="K54" s="5"/>
      <c r="L54" s="44"/>
      <c r="U54" s="121" t="str" cm="1">
        <f t="array" ref="U54">IF(C54="",INDEX(C50:C54,MATCH(TRUE,INDEX((C50:C54&lt;&gt;""),0),0)),C54)</f>
        <v>Britoil 66</v>
      </c>
      <c r="V54" s="122">
        <f t="shared" si="3"/>
        <v>0.77146063213016647</v>
      </c>
      <c r="W54" s="122">
        <v>16000</v>
      </c>
      <c r="X54" s="122"/>
      <c r="Y54" s="122">
        <f t="shared" si="4"/>
        <v>16500</v>
      </c>
      <c r="Z54" s="123"/>
      <c r="AB54" s="8" t="s">
        <v>43</v>
      </c>
      <c r="AC54" s="120">
        <v>6866</v>
      </c>
      <c r="AD54" s="8">
        <v>90.2</v>
      </c>
      <c r="AE54" s="8" t="s">
        <v>222</v>
      </c>
      <c r="AF54" s="8">
        <v>13.1</v>
      </c>
      <c r="AG54" s="8">
        <v>0.90949830799999998</v>
      </c>
      <c r="AH54" s="8">
        <f t="shared" si="9"/>
        <v>20979.444444444445</v>
      </c>
    </row>
    <row r="55" spans="1:34" ht="25" customHeight="1" outlineLevel="1" x14ac:dyDescent="0.35">
      <c r="B55" s="154"/>
      <c r="C55" s="154"/>
      <c r="D55" s="154"/>
      <c r="E55" s="6" t="s">
        <v>13</v>
      </c>
      <c r="F55" s="32" t="s">
        <v>17</v>
      </c>
      <c r="G55" s="37"/>
      <c r="H55" s="61">
        <f t="shared" si="6"/>
        <v>8486.0669534318313</v>
      </c>
      <c r="I55" s="61">
        <f t="shared" si="7"/>
        <v>2468.6740228165327</v>
      </c>
      <c r="J55" s="62">
        <f t="shared" si="8"/>
        <v>49.373480456330654</v>
      </c>
      <c r="K55" s="6"/>
      <c r="L55" s="45"/>
      <c r="U55" s="121" t="str" cm="1">
        <f t="array" ref="U55">IF(C55="",INDEX(C52:C55,MATCH(TRUE,INDEX((C52:C55&lt;&gt;""),0),0)),C55)</f>
        <v>Britoil 66</v>
      </c>
      <c r="V55" s="122">
        <f t="shared" si="3"/>
        <v>0.77146063213016647</v>
      </c>
      <c r="W55" s="122">
        <v>16000</v>
      </c>
      <c r="X55" s="122"/>
      <c r="Y55" s="122">
        <f t="shared" si="4"/>
        <v>16500</v>
      </c>
      <c r="Z55" s="123"/>
      <c r="AB55" s="8" t="s">
        <v>93</v>
      </c>
      <c r="AC55" s="120">
        <v>8000</v>
      </c>
      <c r="AD55" s="8">
        <v>116</v>
      </c>
      <c r="AE55" s="8" t="s">
        <v>224</v>
      </c>
      <c r="AF55" s="8">
        <v>14.5</v>
      </c>
      <c r="AG55" s="8">
        <v>1.0038461540000001</v>
      </c>
      <c r="AH55" s="8">
        <f t="shared" si="9"/>
        <v>24444.444444444445</v>
      </c>
    </row>
    <row r="56" spans="1:34" ht="25" customHeight="1" outlineLevel="1" x14ac:dyDescent="0.35">
      <c r="B56" s="154"/>
      <c r="C56" s="154"/>
      <c r="D56" s="154"/>
      <c r="E56" s="6" t="s">
        <v>112</v>
      </c>
      <c r="F56" s="32" t="s">
        <v>21</v>
      </c>
      <c r="G56" s="37"/>
      <c r="H56" s="61" t="str">
        <f t="shared" si="6"/>
        <v/>
      </c>
      <c r="I56" s="61" t="str">
        <f t="shared" si="7"/>
        <v/>
      </c>
      <c r="J56" s="62" t="str">
        <f t="shared" si="8"/>
        <v/>
      </c>
      <c r="K56" s="6"/>
      <c r="L56" s="45"/>
      <c r="U56" s="121" t="str" cm="1">
        <f t="array" ref="U56">IF(C56="",INDEX(C53:C56,MATCH(TRUE,INDEX((C53:C56&lt;&gt;""),0),0)),C56)</f>
        <v>Britoil 66</v>
      </c>
      <c r="V56" s="122">
        <f t="shared" si="3"/>
        <v>0.77146063213016647</v>
      </c>
      <c r="W56" s="122">
        <v>16000</v>
      </c>
      <c r="X56" s="122"/>
      <c r="Y56" s="122">
        <f t="shared" si="4"/>
        <v>16500</v>
      </c>
      <c r="Z56" s="123"/>
      <c r="AB56" s="8" t="s">
        <v>46</v>
      </c>
      <c r="AC56" s="120">
        <v>5150</v>
      </c>
      <c r="AD56" s="8">
        <v>65</v>
      </c>
      <c r="AE56" s="8" t="s">
        <v>225</v>
      </c>
      <c r="AF56" s="8">
        <v>12.6</v>
      </c>
      <c r="AG56" s="8">
        <v>0.87378640799999996</v>
      </c>
      <c r="AH56" s="8">
        <f t="shared" si="9"/>
        <v>15736.111111111111</v>
      </c>
    </row>
    <row r="57" spans="1:34" ht="25" customHeight="1" outlineLevel="1" x14ac:dyDescent="0.35">
      <c r="B57" s="154"/>
      <c r="C57" s="154"/>
      <c r="D57" s="154"/>
      <c r="E57" s="6" t="s">
        <v>109</v>
      </c>
      <c r="F57" s="32" t="s">
        <v>21</v>
      </c>
      <c r="G57" s="37"/>
      <c r="H57" s="61" t="str">
        <f t="shared" si="6"/>
        <v/>
      </c>
      <c r="I57" s="61" t="str">
        <f t="shared" si="7"/>
        <v/>
      </c>
      <c r="J57" s="62" t="str">
        <f t="shared" si="8"/>
        <v/>
      </c>
      <c r="K57" s="6"/>
      <c r="L57" s="45"/>
      <c r="U57" s="121" t="str" cm="1">
        <f t="array" ref="U57">IF(C57="",INDEX(C53:C57,MATCH(TRUE,INDEX((C53:C57&lt;&gt;""),0),0)),C57)</f>
        <v>Britoil 66</v>
      </c>
      <c r="V57" s="122">
        <f t="shared" si="3"/>
        <v>0.77146063213016647</v>
      </c>
      <c r="W57" s="122">
        <v>16000</v>
      </c>
      <c r="X57" s="122"/>
      <c r="Y57" s="122">
        <f t="shared" si="4"/>
        <v>16500</v>
      </c>
      <c r="Z57" s="123"/>
      <c r="AB57" s="8" t="s">
        <v>47</v>
      </c>
      <c r="AC57" s="120">
        <v>5150</v>
      </c>
      <c r="AD57" s="8">
        <v>66</v>
      </c>
      <c r="AE57" s="8" t="s">
        <v>225</v>
      </c>
      <c r="AF57" s="8">
        <v>12.8</v>
      </c>
      <c r="AG57" s="8">
        <v>0.88722927600000001</v>
      </c>
      <c r="AH57" s="8">
        <f t="shared" si="9"/>
        <v>15736.111111111111</v>
      </c>
    </row>
    <row r="58" spans="1:34" ht="25" customHeight="1" outlineLevel="1" x14ac:dyDescent="0.35">
      <c r="B58" s="155"/>
      <c r="C58" s="155"/>
      <c r="D58" s="155"/>
      <c r="E58" s="7" t="s">
        <v>14</v>
      </c>
      <c r="F58" s="32" t="s">
        <v>108</v>
      </c>
      <c r="G58" s="38"/>
      <c r="H58" s="63" t="str">
        <f t="shared" si="6"/>
        <v/>
      </c>
      <c r="I58" s="63" t="str">
        <f t="shared" si="7"/>
        <v/>
      </c>
      <c r="J58" s="64" t="str">
        <f t="shared" si="8"/>
        <v/>
      </c>
      <c r="K58" s="7"/>
      <c r="L58" s="46"/>
      <c r="U58" s="121" t="str" cm="1">
        <f t="array" ref="U58">IF(C58="",INDEX(C54:C58,MATCH(TRUE,INDEX((C54:C58&lt;&gt;""),0),0)),C58)</f>
        <v>Britoil 66</v>
      </c>
      <c r="V58" s="122">
        <f t="shared" si="3"/>
        <v>0.77146063213016647</v>
      </c>
      <c r="W58" s="122">
        <v>16000</v>
      </c>
      <c r="X58" s="122"/>
      <c r="Y58" s="122">
        <f t="shared" si="4"/>
        <v>16500</v>
      </c>
      <c r="Z58" s="123"/>
      <c r="AB58" s="8" t="s">
        <v>48</v>
      </c>
      <c r="AC58" s="120">
        <v>5150</v>
      </c>
      <c r="AD58" s="8">
        <v>65</v>
      </c>
      <c r="AE58" s="8" t="s">
        <v>225</v>
      </c>
      <c r="AF58" s="8">
        <v>12.6</v>
      </c>
      <c r="AG58" s="8">
        <v>0.87378640799999996</v>
      </c>
      <c r="AH58" s="8">
        <f t="shared" si="9"/>
        <v>15736.111111111111</v>
      </c>
    </row>
    <row r="59" spans="1:34" ht="30" customHeight="1" x14ac:dyDescent="0.35">
      <c r="A59" s="8" t="s">
        <v>136</v>
      </c>
      <c r="B59" s="150">
        <v>11</v>
      </c>
      <c r="C59" s="150" t="s">
        <v>26</v>
      </c>
      <c r="D59" s="150" t="s">
        <v>12</v>
      </c>
      <c r="E59" s="26" t="s">
        <v>105</v>
      </c>
      <c r="F59" s="31"/>
      <c r="G59" s="35"/>
      <c r="H59" s="57" t="str">
        <f t="shared" si="6"/>
        <v/>
      </c>
      <c r="I59" s="57" t="str">
        <f t="shared" si="7"/>
        <v/>
      </c>
      <c r="J59" s="58" t="str">
        <f t="shared" si="8"/>
        <v/>
      </c>
      <c r="K59" s="150" t="s">
        <v>168</v>
      </c>
      <c r="L59" s="41"/>
      <c r="U59" s="121" t="str" cm="1">
        <f t="array" ref="U59">IF(C59="",INDEX(C55:C59,MATCH(TRUE,INDEX((C55:C59&lt;&gt;""),0),0)),C59)</f>
        <v>Britoil 67</v>
      </c>
      <c r="V59" s="122">
        <f t="shared" si="3"/>
        <v>0.77146063213016647</v>
      </c>
      <c r="W59" s="122">
        <v>16000</v>
      </c>
      <c r="X59" s="122"/>
      <c r="Y59" s="122">
        <f t="shared" si="4"/>
        <v>16500</v>
      </c>
      <c r="Z59" s="123"/>
      <c r="AB59" s="8" t="s">
        <v>50</v>
      </c>
      <c r="AC59" s="120">
        <v>5150</v>
      </c>
      <c r="AD59" s="8">
        <v>70</v>
      </c>
      <c r="AE59" s="8" t="s">
        <v>225</v>
      </c>
      <c r="AF59" s="8">
        <v>13.6</v>
      </c>
      <c r="AG59" s="8">
        <v>0.94100074700000003</v>
      </c>
      <c r="AH59" s="8">
        <f t="shared" si="9"/>
        <v>15736.111111111111</v>
      </c>
    </row>
    <row r="60" spans="1:34" ht="25" customHeight="1" outlineLevel="1" x14ac:dyDescent="0.35">
      <c r="B60" s="151"/>
      <c r="C60" s="151"/>
      <c r="D60" s="151"/>
      <c r="E60" s="3" t="s">
        <v>13</v>
      </c>
      <c r="F60" s="31" t="s">
        <v>17</v>
      </c>
      <c r="G60" s="35"/>
      <c r="H60" s="57">
        <f t="shared" si="6"/>
        <v>8486.0669534318313</v>
      </c>
      <c r="I60" s="57">
        <f t="shared" si="7"/>
        <v>2468.6740228165327</v>
      </c>
      <c r="J60" s="58">
        <f t="shared" si="8"/>
        <v>49.373480456330654</v>
      </c>
      <c r="K60" s="151"/>
      <c r="L60" s="42" t="s">
        <v>169</v>
      </c>
      <c r="U60" s="121" t="str" cm="1">
        <f t="array" ref="U60">IF(C60="",INDEX(C57:C60,MATCH(TRUE,INDEX((C57:C60&lt;&gt;""),0),0)),C60)</f>
        <v>Britoil 67</v>
      </c>
      <c r="V60" s="122">
        <f t="shared" si="3"/>
        <v>0.77146063213016647</v>
      </c>
      <c r="W60" s="122">
        <v>16000</v>
      </c>
      <c r="X60" s="122"/>
      <c r="Y60" s="122">
        <f t="shared" si="4"/>
        <v>16500</v>
      </c>
      <c r="Z60" s="123"/>
      <c r="AB60" s="8" t="s">
        <v>51</v>
      </c>
      <c r="AC60" s="120">
        <v>6500</v>
      </c>
      <c r="AD60" s="8">
        <v>88</v>
      </c>
      <c r="AE60" s="8" t="s">
        <v>226</v>
      </c>
      <c r="AF60" s="8">
        <v>13.5</v>
      </c>
      <c r="AG60" s="8">
        <v>0.93727810700000003</v>
      </c>
      <c r="AH60" s="8">
        <f t="shared" si="9"/>
        <v>19861.111111111109</v>
      </c>
    </row>
    <row r="61" spans="1:34" ht="25" customHeight="1" outlineLevel="1" x14ac:dyDescent="0.35">
      <c r="B61" s="151"/>
      <c r="C61" s="151"/>
      <c r="D61" s="151"/>
      <c r="E61" s="3" t="s">
        <v>112</v>
      </c>
      <c r="F61" s="31" t="s">
        <v>21</v>
      </c>
      <c r="G61" s="35"/>
      <c r="H61" s="57" t="str">
        <f t="shared" si="6"/>
        <v/>
      </c>
      <c r="I61" s="57" t="str">
        <f t="shared" si="7"/>
        <v/>
      </c>
      <c r="J61" s="58" t="str">
        <f t="shared" si="8"/>
        <v/>
      </c>
      <c r="K61" s="151"/>
      <c r="L61" s="42"/>
      <c r="U61" s="121" t="str" cm="1">
        <f t="array" ref="U61">IF(C61="",INDEX(C58:C61,MATCH(TRUE,INDEX((C58:C61&lt;&gt;""),0),0)),C61)</f>
        <v>Britoil 67</v>
      </c>
      <c r="V61" s="122">
        <f t="shared" si="3"/>
        <v>0.77146063213016647</v>
      </c>
      <c r="W61" s="122">
        <v>16000</v>
      </c>
      <c r="X61" s="122"/>
      <c r="Y61" s="122">
        <f t="shared" si="4"/>
        <v>16500</v>
      </c>
      <c r="Z61" s="123"/>
      <c r="AB61" s="8" t="s">
        <v>53</v>
      </c>
      <c r="AC61" s="120">
        <v>6500</v>
      </c>
      <c r="AD61" s="8">
        <v>85</v>
      </c>
      <c r="AE61" s="8" t="s">
        <v>226</v>
      </c>
      <c r="AF61" s="8">
        <v>13.1</v>
      </c>
      <c r="AG61" s="8">
        <v>0.90532544400000003</v>
      </c>
      <c r="AH61" s="8">
        <f t="shared" si="9"/>
        <v>19861.111111111109</v>
      </c>
    </row>
    <row r="62" spans="1:34" ht="25" customHeight="1" outlineLevel="1" x14ac:dyDescent="0.35">
      <c r="B62" s="151"/>
      <c r="C62" s="151"/>
      <c r="D62" s="151"/>
      <c r="E62" s="3" t="s">
        <v>109</v>
      </c>
      <c r="F62" s="31" t="s">
        <v>21</v>
      </c>
      <c r="G62" s="35"/>
      <c r="H62" s="57" t="str">
        <f t="shared" si="6"/>
        <v/>
      </c>
      <c r="I62" s="57" t="str">
        <f t="shared" si="7"/>
        <v/>
      </c>
      <c r="J62" s="58" t="str">
        <f t="shared" si="8"/>
        <v/>
      </c>
      <c r="K62" s="151"/>
      <c r="L62" s="42"/>
      <c r="U62" s="121" t="str" cm="1">
        <f t="array" ref="U62">IF(C62="",INDEX(C59:C62,MATCH(TRUE,INDEX((C59:C62&lt;&gt;""),0),0)),C62)</f>
        <v>Britoil 67</v>
      </c>
      <c r="V62" s="122">
        <f t="shared" si="3"/>
        <v>0.77146063213016647</v>
      </c>
      <c r="W62" s="122">
        <v>16000</v>
      </c>
      <c r="X62" s="122"/>
      <c r="Y62" s="122">
        <f t="shared" si="4"/>
        <v>16500</v>
      </c>
      <c r="Z62" s="123"/>
      <c r="AB62" s="8" t="s">
        <v>54</v>
      </c>
      <c r="AC62" s="120">
        <v>5150</v>
      </c>
      <c r="AD62" s="8">
        <v>65</v>
      </c>
      <c r="AE62" s="8" t="s">
        <v>225</v>
      </c>
      <c r="AF62" s="8">
        <v>12.6</v>
      </c>
      <c r="AG62" s="8">
        <v>0.87378640799999996</v>
      </c>
      <c r="AH62" s="8">
        <f t="shared" si="9"/>
        <v>15736.111111111111</v>
      </c>
    </row>
    <row r="63" spans="1:34" ht="25" customHeight="1" outlineLevel="1" x14ac:dyDescent="0.35">
      <c r="B63" s="152"/>
      <c r="C63" s="152"/>
      <c r="D63" s="152"/>
      <c r="E63" s="4" t="s">
        <v>14</v>
      </c>
      <c r="F63" s="31" t="s">
        <v>17</v>
      </c>
      <c r="G63" s="35"/>
      <c r="H63" s="57">
        <f t="shared" si="6"/>
        <v>1928.6515803254163</v>
      </c>
      <c r="I63" s="57">
        <f t="shared" si="7"/>
        <v>2468.6740228165327</v>
      </c>
      <c r="J63" s="58">
        <f t="shared" si="8"/>
        <v>8.4860669534318305</v>
      </c>
      <c r="K63" s="152"/>
      <c r="L63" s="43"/>
      <c r="U63" s="121" t="str" cm="1">
        <f t="array" ref="U63">IF(C63="",INDEX(C59:C63,MATCH(TRUE,INDEX((C59:C63&lt;&gt;""),0),0)),C63)</f>
        <v>Britoil 67</v>
      </c>
      <c r="V63" s="122">
        <f t="shared" si="3"/>
        <v>0.77146063213016647</v>
      </c>
      <c r="W63" s="122">
        <v>16000</v>
      </c>
      <c r="X63" s="122"/>
      <c r="Y63" s="122">
        <f t="shared" si="4"/>
        <v>16500</v>
      </c>
      <c r="Z63" s="123"/>
      <c r="AB63" s="8" t="s">
        <v>56</v>
      </c>
      <c r="AC63" s="120">
        <v>5150</v>
      </c>
      <c r="AD63" s="8">
        <v>65.3</v>
      </c>
      <c r="AE63" s="8" t="s">
        <v>225</v>
      </c>
      <c r="AF63" s="8">
        <v>12.7</v>
      </c>
      <c r="AG63" s="8">
        <v>0.87781926799999999</v>
      </c>
      <c r="AH63" s="8">
        <f t="shared" si="9"/>
        <v>15736.111111111111</v>
      </c>
    </row>
    <row r="64" spans="1:34" ht="30" customHeight="1" x14ac:dyDescent="0.35">
      <c r="A64" s="8" t="s">
        <v>136</v>
      </c>
      <c r="B64" s="153">
        <v>12</v>
      </c>
      <c r="C64" s="153" t="s">
        <v>27</v>
      </c>
      <c r="D64" s="153" t="s">
        <v>12</v>
      </c>
      <c r="E64" s="27" t="s">
        <v>105</v>
      </c>
      <c r="F64" s="32"/>
      <c r="G64" s="36"/>
      <c r="H64" s="59" t="str">
        <f t="shared" si="6"/>
        <v/>
      </c>
      <c r="I64" s="59" t="str">
        <f t="shared" si="7"/>
        <v/>
      </c>
      <c r="J64" s="60" t="str">
        <f t="shared" si="8"/>
        <v/>
      </c>
      <c r="K64" s="153" t="s">
        <v>149</v>
      </c>
      <c r="L64" s="44"/>
      <c r="U64" s="121" t="str" cm="1">
        <f t="array" ref="U64">IF(C64="",INDEX(C60:C64,MATCH(TRUE,INDEX((C60:C64&lt;&gt;""),0),0)),C64)</f>
        <v>Britoil 70</v>
      </c>
      <c r="V64" s="122">
        <f t="shared" si="3"/>
        <v>1.0308584252852067</v>
      </c>
      <c r="W64" s="122">
        <v>20000</v>
      </c>
      <c r="X64" s="122"/>
      <c r="Y64" s="122">
        <f t="shared" si="4"/>
        <v>22048</v>
      </c>
      <c r="Z64" s="123"/>
      <c r="AB64" s="8" t="s">
        <v>57</v>
      </c>
      <c r="AC64" s="120">
        <v>5150</v>
      </c>
      <c r="AD64" s="8">
        <v>69.2</v>
      </c>
      <c r="AE64" s="8" t="s">
        <v>225</v>
      </c>
      <c r="AF64" s="8">
        <v>13.4</v>
      </c>
      <c r="AG64" s="8">
        <v>0.93024645299999997</v>
      </c>
      <c r="AH64" s="8">
        <f t="shared" si="9"/>
        <v>15736.111111111111</v>
      </c>
    </row>
    <row r="65" spans="1:34" ht="25" customHeight="1" outlineLevel="1" x14ac:dyDescent="0.35">
      <c r="B65" s="154"/>
      <c r="C65" s="154"/>
      <c r="D65" s="154"/>
      <c r="E65" s="6" t="s">
        <v>13</v>
      </c>
      <c r="F65" s="32" t="s">
        <v>17</v>
      </c>
      <c r="G65" s="37"/>
      <c r="H65" s="61">
        <f t="shared" si="6"/>
        <v>11339.442678137273</v>
      </c>
      <c r="I65" s="61">
        <f t="shared" si="7"/>
        <v>3298.7469609126615</v>
      </c>
      <c r="J65" s="62">
        <f t="shared" si="8"/>
        <v>65.974939218253226</v>
      </c>
      <c r="K65" s="154"/>
      <c r="L65" s="45"/>
      <c r="U65" s="121" t="str" cm="1">
        <f t="array" ref="U65">IF(C65="",INDEX(C61:C65,MATCH(TRUE,INDEX((C61:C65&lt;&gt;""),0),0)),C65)</f>
        <v>Britoil 70</v>
      </c>
      <c r="V65" s="122">
        <f t="shared" si="3"/>
        <v>1.0308584252852067</v>
      </c>
      <c r="W65" s="122">
        <v>20000</v>
      </c>
      <c r="X65" s="122"/>
      <c r="Y65" s="122">
        <f t="shared" si="4"/>
        <v>22048</v>
      </c>
      <c r="Z65" s="123"/>
      <c r="AB65" s="8" t="s">
        <v>58</v>
      </c>
      <c r="AC65" s="120">
        <v>6500</v>
      </c>
      <c r="AD65" s="8">
        <v>92</v>
      </c>
      <c r="AE65" s="8" t="s">
        <v>227</v>
      </c>
      <c r="AF65" s="8">
        <v>14.2</v>
      </c>
      <c r="AG65" s="8">
        <v>0.97988165699999996</v>
      </c>
      <c r="AH65" s="8">
        <f t="shared" si="9"/>
        <v>19861.111111111109</v>
      </c>
    </row>
    <row r="66" spans="1:34" ht="25" customHeight="1" outlineLevel="1" x14ac:dyDescent="0.35">
      <c r="B66" s="154"/>
      <c r="C66" s="154"/>
      <c r="D66" s="154"/>
      <c r="E66" s="6" t="s">
        <v>112</v>
      </c>
      <c r="F66" s="32" t="s">
        <v>21</v>
      </c>
      <c r="G66" s="37"/>
      <c r="H66" s="61" t="str">
        <f t="shared" si="6"/>
        <v/>
      </c>
      <c r="I66" s="61" t="str">
        <f t="shared" si="7"/>
        <v/>
      </c>
      <c r="J66" s="62" t="str">
        <f t="shared" si="8"/>
        <v/>
      </c>
      <c r="K66" s="154"/>
      <c r="L66" s="45" t="s">
        <v>146</v>
      </c>
      <c r="U66" s="121" t="str" cm="1">
        <f t="array" ref="U66">IF(C66="",INDEX(C62:C66,MATCH(TRUE,INDEX((C62:C66&lt;&gt;""),0),0)),C66)</f>
        <v>Britoil 70</v>
      </c>
      <c r="V66" s="122">
        <f t="shared" si="3"/>
        <v>1.0308584252852067</v>
      </c>
      <c r="W66" s="122">
        <v>20000</v>
      </c>
      <c r="X66" s="122"/>
      <c r="Y66" s="122">
        <f t="shared" si="4"/>
        <v>22048</v>
      </c>
      <c r="Z66" s="123"/>
      <c r="AB66" s="8" t="s">
        <v>60</v>
      </c>
      <c r="AC66" s="120">
        <v>6500</v>
      </c>
      <c r="AD66" s="8">
        <v>87.3</v>
      </c>
      <c r="AE66" s="8" t="s">
        <v>227</v>
      </c>
      <c r="AF66" s="8">
        <v>13.4</v>
      </c>
      <c r="AG66" s="8">
        <v>0.92982248499999998</v>
      </c>
      <c r="AH66" s="8">
        <f t="shared" si="9"/>
        <v>19861.111111111109</v>
      </c>
    </row>
    <row r="67" spans="1:34" ht="25" customHeight="1" outlineLevel="1" x14ac:dyDescent="0.35">
      <c r="B67" s="154"/>
      <c r="C67" s="154"/>
      <c r="D67" s="154"/>
      <c r="E67" s="6" t="s">
        <v>109</v>
      </c>
      <c r="F67" s="32" t="s">
        <v>17</v>
      </c>
      <c r="G67" s="37"/>
      <c r="H67" s="61">
        <f t="shared" si="6"/>
        <v>8556.1249298672155</v>
      </c>
      <c r="I67" s="61">
        <f t="shared" si="7"/>
        <v>1030.8584252852067</v>
      </c>
      <c r="J67" s="62">
        <f t="shared" si="8"/>
        <v>46.3886291378343</v>
      </c>
      <c r="K67" s="154"/>
      <c r="L67" s="45" t="s">
        <v>150</v>
      </c>
      <c r="U67" s="121" t="str" cm="1">
        <f t="array" ref="U67">IF(C67="",INDEX(C63:C67,MATCH(TRUE,INDEX((C63:C67&lt;&gt;""),0),0)),C67)</f>
        <v>Britoil 70</v>
      </c>
      <c r="V67" s="122">
        <f t="shared" si="3"/>
        <v>1.0308584252852067</v>
      </c>
      <c r="W67" s="122">
        <v>20000</v>
      </c>
      <c r="X67" s="122"/>
      <c r="Y67" s="122">
        <f t="shared" si="4"/>
        <v>22048</v>
      </c>
      <c r="Z67" s="123"/>
      <c r="AB67" s="8" t="s">
        <v>61</v>
      </c>
      <c r="AC67" s="120">
        <v>5150</v>
      </c>
      <c r="AD67" s="8">
        <v>68.400000000000006</v>
      </c>
      <c r="AE67" s="8" t="s">
        <v>225</v>
      </c>
      <c r="AF67" s="8">
        <v>13.3</v>
      </c>
      <c r="AG67" s="8">
        <v>0.91949215799999995</v>
      </c>
      <c r="AH67" s="8">
        <f t="shared" si="9"/>
        <v>15736.111111111111</v>
      </c>
    </row>
    <row r="68" spans="1:34" ht="25" customHeight="1" outlineLevel="1" x14ac:dyDescent="0.35">
      <c r="B68" s="155"/>
      <c r="C68" s="155"/>
      <c r="D68" s="155"/>
      <c r="E68" s="7" t="s">
        <v>14</v>
      </c>
      <c r="F68" s="32" t="s">
        <v>21</v>
      </c>
      <c r="G68" s="38"/>
      <c r="H68" s="63" t="str">
        <f t="shared" si="6"/>
        <v/>
      </c>
      <c r="I68" s="63" t="str">
        <f t="shared" si="7"/>
        <v/>
      </c>
      <c r="J68" s="64" t="str">
        <f t="shared" si="8"/>
        <v/>
      </c>
      <c r="K68" s="155"/>
      <c r="L68" s="46"/>
      <c r="U68" s="121" t="str" cm="1">
        <f t="array" ref="U68">IF(C68="",INDEX(C64:C68,MATCH(TRUE,INDEX((C64:C68&lt;&gt;""),0),0)),C68)</f>
        <v>Britoil 70</v>
      </c>
      <c r="V68" s="122">
        <f t="shared" si="3"/>
        <v>1.0308584252852067</v>
      </c>
      <c r="W68" s="122">
        <v>20000</v>
      </c>
      <c r="X68" s="122"/>
      <c r="Y68" s="122">
        <f t="shared" si="4"/>
        <v>22048</v>
      </c>
      <c r="Z68" s="123"/>
      <c r="AB68" s="8" t="s">
        <v>63</v>
      </c>
      <c r="AC68" s="120">
        <v>5150</v>
      </c>
      <c r="AD68" s="8">
        <v>66.3</v>
      </c>
      <c r="AE68" s="8" t="s">
        <v>225</v>
      </c>
      <c r="AF68" s="8">
        <v>12.9</v>
      </c>
      <c r="AG68" s="8">
        <v>0.89126213600000004</v>
      </c>
      <c r="AH68" s="8">
        <f t="shared" si="9"/>
        <v>15736.111111111111</v>
      </c>
    </row>
    <row r="69" spans="1:34" ht="30" customHeight="1" x14ac:dyDescent="0.35">
      <c r="A69" s="8" t="s">
        <v>136</v>
      </c>
      <c r="B69" s="150">
        <v>13</v>
      </c>
      <c r="C69" s="150" t="s">
        <v>28</v>
      </c>
      <c r="D69" s="150" t="s">
        <v>12</v>
      </c>
      <c r="E69" s="26" t="s">
        <v>105</v>
      </c>
      <c r="F69" s="31"/>
      <c r="G69" s="35"/>
      <c r="H69" s="57" t="str">
        <f t="shared" si="6"/>
        <v/>
      </c>
      <c r="I69" s="57" t="str">
        <f t="shared" si="7"/>
        <v/>
      </c>
      <c r="J69" s="58" t="str">
        <f t="shared" si="8"/>
        <v/>
      </c>
      <c r="K69" s="3"/>
      <c r="L69" s="41"/>
      <c r="U69" s="121" t="str" cm="1">
        <f t="array" ref="U69">IF(C69="",INDEX(C65:C69,MATCH(TRUE,INDEX((C65:C69&lt;&gt;""),0),0)),C69)</f>
        <v>Britoil 71</v>
      </c>
      <c r="V69" s="122">
        <f t="shared" si="3"/>
        <v>1.0308584252852067</v>
      </c>
      <c r="W69" s="122">
        <v>20000</v>
      </c>
      <c r="X69" s="122"/>
      <c r="Y69" s="122">
        <f t="shared" si="4"/>
        <v>22048</v>
      </c>
      <c r="Z69" s="123"/>
      <c r="AB69" s="8" t="s">
        <v>65</v>
      </c>
      <c r="AC69" s="120">
        <v>5150</v>
      </c>
      <c r="AD69" s="8">
        <v>69.5</v>
      </c>
      <c r="AE69" s="8" t="s">
        <v>225</v>
      </c>
      <c r="AF69" s="8">
        <v>13.5</v>
      </c>
      <c r="AG69" s="8">
        <v>0.934279313</v>
      </c>
      <c r="AH69" s="8">
        <f t="shared" si="9"/>
        <v>15736.111111111111</v>
      </c>
    </row>
    <row r="70" spans="1:34" ht="25" customHeight="1" outlineLevel="1" x14ac:dyDescent="0.35">
      <c r="B70" s="151"/>
      <c r="C70" s="151"/>
      <c r="D70" s="151"/>
      <c r="E70" s="3" t="s">
        <v>13</v>
      </c>
      <c r="F70" s="31" t="s">
        <v>17</v>
      </c>
      <c r="G70" s="35"/>
      <c r="H70" s="57">
        <f t="shared" si="6"/>
        <v>11339.442678137273</v>
      </c>
      <c r="I70" s="57">
        <f t="shared" si="7"/>
        <v>3298.7469609126615</v>
      </c>
      <c r="J70" s="58">
        <f t="shared" si="8"/>
        <v>65.974939218253226</v>
      </c>
      <c r="K70" s="3"/>
      <c r="L70" s="42"/>
      <c r="U70" s="121" t="str" cm="1">
        <f t="array" ref="U70">IF(C70="",INDEX(C66:C70,MATCH(TRUE,INDEX((C66:C70&lt;&gt;""),0),0)),C70)</f>
        <v>Britoil 71</v>
      </c>
      <c r="V70" s="122">
        <f t="shared" si="3"/>
        <v>1.0308584252852067</v>
      </c>
      <c r="W70" s="122">
        <v>20000</v>
      </c>
      <c r="X70" s="122"/>
      <c r="Y70" s="122">
        <f t="shared" si="4"/>
        <v>22048</v>
      </c>
      <c r="Z70" s="123"/>
      <c r="AB70" s="8" t="s">
        <v>66</v>
      </c>
      <c r="AC70" s="120">
        <v>5150</v>
      </c>
      <c r="AD70" s="8">
        <v>69.099999999999994</v>
      </c>
      <c r="AE70" s="8" t="s">
        <v>225</v>
      </c>
      <c r="AF70" s="8">
        <v>13.4</v>
      </c>
      <c r="AG70" s="8">
        <v>0.92890216599999997</v>
      </c>
      <c r="AH70" s="8">
        <f t="shared" si="9"/>
        <v>15736.111111111111</v>
      </c>
    </row>
    <row r="71" spans="1:34" ht="25" customHeight="1" outlineLevel="1" x14ac:dyDescent="0.35">
      <c r="B71" s="151"/>
      <c r="C71" s="151"/>
      <c r="D71" s="151"/>
      <c r="E71" s="3" t="s">
        <v>112</v>
      </c>
      <c r="F71" s="31" t="s">
        <v>21</v>
      </c>
      <c r="G71" s="35"/>
      <c r="H71" s="57" t="str">
        <f t="shared" si="6"/>
        <v/>
      </c>
      <c r="I71" s="57" t="str">
        <f t="shared" si="7"/>
        <v/>
      </c>
      <c r="J71" s="58" t="str">
        <f t="shared" si="8"/>
        <v/>
      </c>
      <c r="K71" s="3"/>
      <c r="L71" s="42"/>
      <c r="U71" s="121" t="str" cm="1">
        <f t="array" ref="U71">IF(C71="",INDEX(C67:C71,MATCH(TRUE,INDEX((C67:C71&lt;&gt;""),0),0)),C71)</f>
        <v>Britoil 71</v>
      </c>
      <c r="V71" s="122">
        <f t="shared" si="3"/>
        <v>1.0308584252852067</v>
      </c>
      <c r="W71" s="122">
        <v>20000</v>
      </c>
      <c r="X71" s="122"/>
      <c r="Y71" s="122">
        <f t="shared" si="4"/>
        <v>22048</v>
      </c>
      <c r="Z71" s="123"/>
      <c r="AB71" s="8" t="s">
        <v>67</v>
      </c>
      <c r="AC71" s="120">
        <v>5150</v>
      </c>
      <c r="AD71" s="8">
        <v>69.900000000000006</v>
      </c>
      <c r="AE71" s="8" t="s">
        <v>225</v>
      </c>
      <c r="AF71" s="8">
        <v>13.6</v>
      </c>
      <c r="AG71" s="8">
        <v>0.93965646000000003</v>
      </c>
      <c r="AH71" s="8">
        <f t="shared" si="9"/>
        <v>15736.111111111111</v>
      </c>
    </row>
    <row r="72" spans="1:34" ht="25" customHeight="1" outlineLevel="1" x14ac:dyDescent="0.35">
      <c r="B72" s="151"/>
      <c r="C72" s="151"/>
      <c r="D72" s="151"/>
      <c r="E72" s="3" t="s">
        <v>109</v>
      </c>
      <c r="F72" s="31" t="s">
        <v>21</v>
      </c>
      <c r="G72" s="35"/>
      <c r="H72" s="57" t="str">
        <f t="shared" si="6"/>
        <v/>
      </c>
      <c r="I72" s="57" t="str">
        <f t="shared" si="7"/>
        <v/>
      </c>
      <c r="J72" s="58" t="str">
        <f t="shared" si="8"/>
        <v/>
      </c>
      <c r="K72" s="3"/>
      <c r="L72" s="42"/>
      <c r="U72" s="121" t="str" cm="1">
        <f t="array" ref="U72">IF(C72="",INDEX(C68:C72,MATCH(TRUE,INDEX((C68:C72&lt;&gt;""),0),0)),C72)</f>
        <v>Britoil 71</v>
      </c>
      <c r="V72" s="122">
        <f t="shared" si="3"/>
        <v>1.0308584252852067</v>
      </c>
      <c r="W72" s="122">
        <v>20000</v>
      </c>
      <c r="X72" s="122"/>
      <c r="Y72" s="122">
        <f t="shared" si="4"/>
        <v>22048</v>
      </c>
      <c r="Z72" s="123"/>
      <c r="AB72" s="8" t="s">
        <v>99</v>
      </c>
      <c r="AC72" s="120">
        <v>1971</v>
      </c>
      <c r="AD72" s="8" t="s">
        <v>228</v>
      </c>
      <c r="AE72" s="8" t="s">
        <v>229</v>
      </c>
      <c r="AF72" s="8">
        <v>15</v>
      </c>
      <c r="AG72" s="8">
        <v>1.038461538</v>
      </c>
      <c r="AH72" s="8">
        <f t="shared" si="9"/>
        <v>6022.5</v>
      </c>
    </row>
    <row r="73" spans="1:34" ht="25" customHeight="1" outlineLevel="1" x14ac:dyDescent="0.35">
      <c r="B73" s="152"/>
      <c r="C73" s="152"/>
      <c r="D73" s="152"/>
      <c r="E73" s="4" t="s">
        <v>14</v>
      </c>
      <c r="F73" s="31" t="s">
        <v>21</v>
      </c>
      <c r="G73" s="35"/>
      <c r="H73" s="57" t="str">
        <f t="shared" si="6"/>
        <v/>
      </c>
      <c r="I73" s="57" t="str">
        <f t="shared" si="7"/>
        <v/>
      </c>
      <c r="J73" s="58" t="str">
        <f t="shared" si="8"/>
        <v/>
      </c>
      <c r="K73" s="3"/>
      <c r="L73" s="43"/>
      <c r="U73" s="121" t="str" cm="1">
        <f t="array" ref="U73">IF(C73="",INDEX(C69:C73,MATCH(TRUE,INDEX((C69:C73&lt;&gt;""),0),0)),C73)</f>
        <v>Britoil 71</v>
      </c>
      <c r="V73" s="122">
        <f t="shared" si="3"/>
        <v>1.0308584252852067</v>
      </c>
      <c r="W73" s="122">
        <v>20000</v>
      </c>
      <c r="X73" s="122"/>
      <c r="Y73" s="122">
        <f t="shared" si="4"/>
        <v>22048</v>
      </c>
      <c r="Z73" s="123"/>
      <c r="AB73" s="8" t="s">
        <v>86</v>
      </c>
      <c r="AC73" s="8">
        <v>6866</v>
      </c>
      <c r="AD73" s="8">
        <v>90</v>
      </c>
      <c r="AF73" s="8">
        <v>15</v>
      </c>
      <c r="AG73" s="8">
        <v>1.038461538</v>
      </c>
      <c r="AH73" s="8">
        <f t="shared" si="9"/>
        <v>20979.444444444445</v>
      </c>
    </row>
    <row r="74" spans="1:34" ht="30" customHeight="1" x14ac:dyDescent="0.35">
      <c r="A74" s="8" t="s">
        <v>136</v>
      </c>
      <c r="B74" s="153">
        <v>14</v>
      </c>
      <c r="C74" s="153" t="s">
        <v>29</v>
      </c>
      <c r="D74" s="153" t="s">
        <v>12</v>
      </c>
      <c r="E74" s="27" t="s">
        <v>105</v>
      </c>
      <c r="F74" s="32"/>
      <c r="G74" s="36"/>
      <c r="H74" s="59" t="str">
        <f t="shared" si="6"/>
        <v/>
      </c>
      <c r="I74" s="59" t="str">
        <f t="shared" si="7"/>
        <v/>
      </c>
      <c r="J74" s="60" t="str">
        <f t="shared" si="8"/>
        <v/>
      </c>
      <c r="K74" s="5"/>
      <c r="L74" s="44"/>
      <c r="U74" s="121" t="str" cm="1">
        <f t="array" ref="U74">IF(C74="",INDEX(C70:C74,MATCH(TRUE,INDEX((C70:C74&lt;&gt;""),0),0)),C74)</f>
        <v>Britoil 72</v>
      </c>
      <c r="V74" s="122">
        <f t="shared" ref="V74:V138" si="10">MIN(Y74/21388,1.3)</f>
        <v>1.0308584252852067</v>
      </c>
      <c r="W74" s="122">
        <v>20000</v>
      </c>
      <c r="X74" s="122"/>
      <c r="Y74" s="122">
        <f t="shared" ref="Y74:Y137" si="11">INT(VLOOKUP(U74, $AB$30:$AH$98, 7, FALSE))</f>
        <v>22048</v>
      </c>
      <c r="Z74" s="123"/>
      <c r="AB74" s="8" t="s">
        <v>68</v>
      </c>
      <c r="AC74" s="8">
        <v>7000</v>
      </c>
      <c r="AD74" s="8" t="s">
        <v>230</v>
      </c>
      <c r="AE74" s="8" t="s">
        <v>231</v>
      </c>
      <c r="AH74" s="8">
        <f t="shared" si="9"/>
        <v>21388.888888888891</v>
      </c>
    </row>
    <row r="75" spans="1:34" ht="25" customHeight="1" outlineLevel="1" x14ac:dyDescent="0.35">
      <c r="B75" s="154"/>
      <c r="C75" s="154"/>
      <c r="D75" s="154"/>
      <c r="E75" s="6" t="s">
        <v>13</v>
      </c>
      <c r="F75" s="32" t="s">
        <v>17</v>
      </c>
      <c r="G75" s="37"/>
      <c r="H75" s="61">
        <f t="shared" si="6"/>
        <v>11339.442678137273</v>
      </c>
      <c r="I75" s="61">
        <f t="shared" si="7"/>
        <v>3298.7469609126615</v>
      </c>
      <c r="J75" s="62">
        <f t="shared" si="8"/>
        <v>65.974939218253226</v>
      </c>
      <c r="K75" s="6"/>
      <c r="L75" s="45"/>
      <c r="U75" s="121" t="str" cm="1">
        <f t="array" ref="U75">IF(C75="",INDEX(C71:C75,MATCH(TRUE,INDEX((C71:C75&lt;&gt;""),0),0)),C75)</f>
        <v>Britoil 72</v>
      </c>
      <c r="V75" s="122">
        <f t="shared" si="10"/>
        <v>1.0308584252852067</v>
      </c>
      <c r="W75" s="122">
        <v>20000</v>
      </c>
      <c r="X75" s="122"/>
      <c r="Y75" s="122">
        <f t="shared" si="11"/>
        <v>22048</v>
      </c>
      <c r="Z75" s="123"/>
      <c r="AB75" s="8" t="s">
        <v>70</v>
      </c>
      <c r="AC75" s="8">
        <v>7000</v>
      </c>
      <c r="AD75" s="8" t="s">
        <v>230</v>
      </c>
      <c r="AE75" s="8" t="s">
        <v>231</v>
      </c>
      <c r="AH75" s="8">
        <f t="shared" si="9"/>
        <v>21388.888888888891</v>
      </c>
    </row>
    <row r="76" spans="1:34" ht="25" customHeight="1" outlineLevel="1" x14ac:dyDescent="0.35">
      <c r="B76" s="154"/>
      <c r="C76" s="154"/>
      <c r="D76" s="154"/>
      <c r="E76" s="6" t="s">
        <v>112</v>
      </c>
      <c r="F76" s="32" t="s">
        <v>17</v>
      </c>
      <c r="G76" s="37"/>
      <c r="H76" s="61">
        <f t="shared" si="6"/>
        <v>8246.867402281654</v>
      </c>
      <c r="I76" s="61">
        <f t="shared" si="7"/>
        <v>1030.8584252852067</v>
      </c>
      <c r="J76" s="62">
        <f t="shared" si="8"/>
        <v>41.234337011408265</v>
      </c>
      <c r="K76" s="6"/>
      <c r="L76" s="45" t="s">
        <v>178</v>
      </c>
      <c r="U76" s="121" t="str" cm="1">
        <f t="array" ref="U76">IF(C76="",INDEX(C72:C76,MATCH(TRUE,INDEX((C72:C76&lt;&gt;""),0),0)),C76)</f>
        <v>Britoil 72</v>
      </c>
      <c r="V76" s="122">
        <f t="shared" si="10"/>
        <v>1.0308584252852067</v>
      </c>
      <c r="W76" s="122">
        <v>20000</v>
      </c>
      <c r="X76" s="122"/>
      <c r="Y76" s="122">
        <f t="shared" si="11"/>
        <v>22048</v>
      </c>
      <c r="Z76" s="123"/>
      <c r="AB76" s="8" t="s">
        <v>71</v>
      </c>
      <c r="AC76" s="8">
        <v>8000</v>
      </c>
      <c r="AD76" s="8" t="s">
        <v>232</v>
      </c>
      <c r="AE76" s="8" t="s">
        <v>233</v>
      </c>
      <c r="AH76" s="8">
        <f t="shared" si="9"/>
        <v>24444.444444444445</v>
      </c>
    </row>
    <row r="77" spans="1:34" ht="25" customHeight="1" outlineLevel="1" x14ac:dyDescent="0.35">
      <c r="B77" s="154"/>
      <c r="C77" s="154"/>
      <c r="D77" s="154"/>
      <c r="E77" s="6" t="s">
        <v>109</v>
      </c>
      <c r="F77" s="32" t="s">
        <v>17</v>
      </c>
      <c r="G77" s="37"/>
      <c r="H77" s="61">
        <f t="shared" si="6"/>
        <v>8556.1249298672155</v>
      </c>
      <c r="I77" s="61">
        <f t="shared" si="7"/>
        <v>1030.8584252852067</v>
      </c>
      <c r="J77" s="62">
        <f t="shared" si="8"/>
        <v>46.3886291378343</v>
      </c>
      <c r="K77" s="6"/>
      <c r="L77" s="45"/>
      <c r="U77" s="121" t="str" cm="1">
        <f t="array" ref="U77">IF(C77="",INDEX(C73:C77,MATCH(TRUE,INDEX((C73:C77&lt;&gt;""),0),0)),C77)</f>
        <v>Britoil 72</v>
      </c>
      <c r="V77" s="122">
        <f t="shared" si="10"/>
        <v>1.0308584252852067</v>
      </c>
      <c r="W77" s="122">
        <v>20000</v>
      </c>
      <c r="X77" s="122"/>
      <c r="Y77" s="122">
        <f t="shared" si="11"/>
        <v>22048</v>
      </c>
      <c r="Z77" s="123"/>
      <c r="AB77" s="8" t="s">
        <v>74</v>
      </c>
      <c r="AC77" s="8">
        <v>6000</v>
      </c>
      <c r="AD77" s="8" t="s">
        <v>234</v>
      </c>
      <c r="AE77" s="8" t="s">
        <v>235</v>
      </c>
      <c r="AH77" s="8">
        <f t="shared" si="9"/>
        <v>18333.333333333332</v>
      </c>
    </row>
    <row r="78" spans="1:34" ht="25" customHeight="1" outlineLevel="1" x14ac:dyDescent="0.35">
      <c r="B78" s="155"/>
      <c r="C78" s="155"/>
      <c r="D78" s="155"/>
      <c r="E78" s="7" t="s">
        <v>14</v>
      </c>
      <c r="F78" s="32" t="s">
        <v>21</v>
      </c>
      <c r="G78" s="38"/>
      <c r="H78" s="63" t="str">
        <f t="shared" si="6"/>
        <v/>
      </c>
      <c r="I78" s="63" t="str">
        <f t="shared" si="7"/>
        <v/>
      </c>
      <c r="J78" s="64" t="str">
        <f t="shared" si="8"/>
        <v/>
      </c>
      <c r="K78" s="7"/>
      <c r="L78" s="46"/>
      <c r="U78" s="121" t="str" cm="1">
        <f t="array" ref="U78">IF(C78="",INDEX(C74:C78,MATCH(TRUE,INDEX((C74:C78&lt;&gt;""),0),0)),C78)</f>
        <v>Britoil 72</v>
      </c>
      <c r="V78" s="122">
        <f t="shared" si="10"/>
        <v>1.0308584252852067</v>
      </c>
      <c r="W78" s="122">
        <v>20000</v>
      </c>
      <c r="X78" s="122"/>
      <c r="Y78" s="122">
        <f t="shared" si="11"/>
        <v>22048</v>
      </c>
      <c r="Z78" s="123"/>
      <c r="AB78" s="8" t="s">
        <v>75</v>
      </c>
      <c r="AC78" s="8">
        <v>6000</v>
      </c>
      <c r="AD78" s="8" t="s">
        <v>234</v>
      </c>
      <c r="AE78" s="8" t="s">
        <v>235</v>
      </c>
      <c r="AH78" s="8">
        <f t="shared" si="9"/>
        <v>18333.333333333332</v>
      </c>
    </row>
    <row r="79" spans="1:34" ht="30" customHeight="1" x14ac:dyDescent="0.35">
      <c r="A79" s="8" t="s">
        <v>136</v>
      </c>
      <c r="B79" s="150">
        <v>15</v>
      </c>
      <c r="C79" s="150" t="s">
        <v>30</v>
      </c>
      <c r="D79" s="150" t="s">
        <v>12</v>
      </c>
      <c r="E79" s="26" t="s">
        <v>105</v>
      </c>
      <c r="F79" s="31"/>
      <c r="G79" s="35"/>
      <c r="H79" s="57" t="str">
        <f t="shared" si="6"/>
        <v/>
      </c>
      <c r="I79" s="57" t="str">
        <f t="shared" si="7"/>
        <v/>
      </c>
      <c r="J79" s="58" t="str">
        <f t="shared" si="8"/>
        <v/>
      </c>
      <c r="K79" s="169" t="s">
        <v>172</v>
      </c>
      <c r="L79" s="41"/>
      <c r="U79" s="121" t="str" cm="1">
        <f t="array" ref="U79">IF(C79="",INDEX(C75:C79,MATCH(TRUE,INDEX((C75:C79&lt;&gt;""),0),0)),C79)</f>
        <v>Britoil 73</v>
      </c>
      <c r="V79" s="122">
        <f t="shared" si="10"/>
        <v>1.0382925004675518</v>
      </c>
      <c r="W79" s="122">
        <v>20000</v>
      </c>
      <c r="X79" s="122"/>
      <c r="Y79" s="122">
        <f t="shared" si="11"/>
        <v>22207</v>
      </c>
      <c r="Z79" s="123"/>
      <c r="AB79" s="8" t="s">
        <v>77</v>
      </c>
      <c r="AC79" s="8">
        <v>8200</v>
      </c>
      <c r="AD79" s="8" t="s">
        <v>236</v>
      </c>
      <c r="AE79" s="8" t="s">
        <v>237</v>
      </c>
      <c r="AH79" s="8">
        <f t="shared" si="9"/>
        <v>25055.555555555555</v>
      </c>
    </row>
    <row r="80" spans="1:34" ht="25" customHeight="1" outlineLevel="1" x14ac:dyDescent="0.35">
      <c r="B80" s="151"/>
      <c r="C80" s="151"/>
      <c r="D80" s="151"/>
      <c r="E80" s="3" t="s">
        <v>13</v>
      </c>
      <c r="F80" s="31" t="s">
        <v>17</v>
      </c>
      <c r="G80" s="35"/>
      <c r="H80" s="57">
        <f t="shared" si="6"/>
        <v>11421.21750514307</v>
      </c>
      <c r="I80" s="57">
        <f t="shared" si="7"/>
        <v>3322.5360014961657</v>
      </c>
      <c r="J80" s="58">
        <f t="shared" si="8"/>
        <v>66.450720029923318</v>
      </c>
      <c r="K80" s="151"/>
      <c r="L80" s="42"/>
      <c r="U80" s="121" t="str" cm="1">
        <f t="array" ref="U80">IF(C80="",INDEX(C76:C80,MATCH(TRUE,INDEX((C76:C80&lt;&gt;""),0),0)),C80)</f>
        <v>Britoil 73</v>
      </c>
      <c r="V80" s="122">
        <f t="shared" si="10"/>
        <v>1.0382925004675518</v>
      </c>
      <c r="W80" s="122">
        <v>20000</v>
      </c>
      <c r="X80" s="122"/>
      <c r="Y80" s="122">
        <f t="shared" si="11"/>
        <v>22207</v>
      </c>
      <c r="Z80" s="123"/>
      <c r="AB80" s="8" t="s">
        <v>78</v>
      </c>
      <c r="AC80" s="8">
        <v>8200</v>
      </c>
      <c r="AD80" s="8" t="s">
        <v>236</v>
      </c>
      <c r="AE80" s="8" t="s">
        <v>237</v>
      </c>
      <c r="AH80" s="8">
        <f t="shared" si="9"/>
        <v>25055.555555555555</v>
      </c>
    </row>
    <row r="81" spans="1:34" ht="25" customHeight="1" outlineLevel="1" x14ac:dyDescent="0.35">
      <c r="B81" s="151"/>
      <c r="C81" s="151"/>
      <c r="D81" s="151"/>
      <c r="E81" s="3" t="s">
        <v>112</v>
      </c>
      <c r="F81" s="31" t="s">
        <v>17</v>
      </c>
      <c r="G81" s="35"/>
      <c r="H81" s="57">
        <f t="shared" si="6"/>
        <v>8306.3400037404153</v>
      </c>
      <c r="I81" s="57">
        <f t="shared" si="7"/>
        <v>1038.2925004675519</v>
      </c>
      <c r="J81" s="58">
        <f t="shared" si="8"/>
        <v>41.531700018702075</v>
      </c>
      <c r="K81" s="151"/>
      <c r="L81" s="42" t="s">
        <v>178</v>
      </c>
      <c r="U81" s="121" t="str" cm="1">
        <f t="array" ref="U81">IF(C81="",INDEX(C77:C81,MATCH(TRUE,INDEX((C77:C81&lt;&gt;""),0),0)),C81)</f>
        <v>Britoil 73</v>
      </c>
      <c r="V81" s="122">
        <f t="shared" si="10"/>
        <v>1.0382925004675518</v>
      </c>
      <c r="W81" s="122">
        <v>20000</v>
      </c>
      <c r="X81" s="122"/>
      <c r="Y81" s="122">
        <f t="shared" si="11"/>
        <v>22207</v>
      </c>
      <c r="Z81" s="123"/>
      <c r="AB81" s="8" t="s">
        <v>79</v>
      </c>
      <c r="AC81" s="8">
        <v>6500</v>
      </c>
      <c r="AD81" s="8" t="s">
        <v>238</v>
      </c>
      <c r="AE81" s="8" t="s">
        <v>239</v>
      </c>
      <c r="AH81" s="8">
        <f t="shared" si="9"/>
        <v>19861.111111111109</v>
      </c>
    </row>
    <row r="82" spans="1:34" ht="25" customHeight="1" outlineLevel="1" x14ac:dyDescent="0.35">
      <c r="B82" s="151"/>
      <c r="C82" s="151"/>
      <c r="D82" s="151"/>
      <c r="E82" s="3" t="s">
        <v>109</v>
      </c>
      <c r="F82" s="31" t="s">
        <v>21</v>
      </c>
      <c r="G82" s="35"/>
      <c r="H82" s="57" t="str">
        <f t="shared" si="6"/>
        <v/>
      </c>
      <c r="I82" s="57" t="str">
        <f t="shared" si="7"/>
        <v/>
      </c>
      <c r="J82" s="58" t="str">
        <f t="shared" si="8"/>
        <v/>
      </c>
      <c r="K82" s="151"/>
      <c r="L82" s="42"/>
      <c r="U82" s="121" t="str" cm="1">
        <f t="array" ref="U82">IF(C82="",INDEX(C78:C82,MATCH(TRUE,INDEX((C78:C82&lt;&gt;""),0),0)),C82)</f>
        <v>Britoil 73</v>
      </c>
      <c r="V82" s="122">
        <f t="shared" si="10"/>
        <v>1.0382925004675518</v>
      </c>
      <c r="W82" s="122">
        <v>20000</v>
      </c>
      <c r="X82" s="122"/>
      <c r="Y82" s="122">
        <f t="shared" si="11"/>
        <v>22207</v>
      </c>
      <c r="Z82" s="123"/>
      <c r="AB82" s="8" t="s">
        <v>80</v>
      </c>
      <c r="AC82" s="8">
        <v>6500</v>
      </c>
      <c r="AD82" s="8" t="s">
        <v>238</v>
      </c>
      <c r="AE82" s="8" t="s">
        <v>239</v>
      </c>
      <c r="AH82" s="8">
        <f t="shared" si="9"/>
        <v>19861.111111111109</v>
      </c>
    </row>
    <row r="83" spans="1:34" ht="25" customHeight="1" outlineLevel="1" x14ac:dyDescent="0.35">
      <c r="B83" s="152"/>
      <c r="C83" s="152"/>
      <c r="D83" s="152"/>
      <c r="E83" s="4" t="s">
        <v>14</v>
      </c>
      <c r="F83" s="31" t="s">
        <v>21</v>
      </c>
      <c r="G83" s="35"/>
      <c r="H83" s="57" t="str">
        <f t="shared" si="6"/>
        <v/>
      </c>
      <c r="I83" s="57" t="str">
        <f t="shared" si="7"/>
        <v/>
      </c>
      <c r="J83" s="58" t="str">
        <f t="shared" si="8"/>
        <v/>
      </c>
      <c r="K83" s="152"/>
      <c r="L83" s="43"/>
      <c r="U83" s="121" t="str" cm="1">
        <f t="array" ref="U83">IF(C83="",INDEX(C79:C83,MATCH(TRUE,INDEX((C79:C83&lt;&gt;""),0),0)),C83)</f>
        <v>Britoil 73</v>
      </c>
      <c r="V83" s="122">
        <f t="shared" si="10"/>
        <v>1.0382925004675518</v>
      </c>
      <c r="W83" s="122">
        <v>20000</v>
      </c>
      <c r="X83" s="122"/>
      <c r="Y83" s="122">
        <f t="shared" si="11"/>
        <v>22207</v>
      </c>
      <c r="Z83" s="123"/>
      <c r="AB83" s="8" t="s">
        <v>81</v>
      </c>
      <c r="AC83" s="8">
        <v>7000</v>
      </c>
      <c r="AD83" s="8" t="s">
        <v>232</v>
      </c>
      <c r="AE83" s="8" t="s">
        <v>233</v>
      </c>
      <c r="AH83" s="8">
        <f t="shared" si="9"/>
        <v>21388.888888888891</v>
      </c>
    </row>
    <row r="84" spans="1:34" ht="30" customHeight="1" x14ac:dyDescent="0.35">
      <c r="A84" s="8" t="s">
        <v>136</v>
      </c>
      <c r="B84" s="153">
        <v>16</v>
      </c>
      <c r="C84" s="153" t="s">
        <v>31</v>
      </c>
      <c r="D84" s="153" t="s">
        <v>12</v>
      </c>
      <c r="E84" s="27" t="s">
        <v>105</v>
      </c>
      <c r="F84" s="32"/>
      <c r="G84" s="36"/>
      <c r="H84" s="59" t="str">
        <f t="shared" si="6"/>
        <v/>
      </c>
      <c r="I84" s="59" t="str">
        <f t="shared" si="7"/>
        <v/>
      </c>
      <c r="J84" s="60" t="str">
        <f t="shared" si="8"/>
        <v/>
      </c>
      <c r="K84" s="153" t="s">
        <v>170</v>
      </c>
      <c r="L84" s="44"/>
      <c r="U84" s="121" t="str" cm="1">
        <f t="array" ref="U84">IF(C84="",INDEX(C80:C84,MATCH(TRUE,INDEX((C80:C84&lt;&gt;""),0),0)),C84)</f>
        <v>Britoil 74</v>
      </c>
      <c r="V84" s="122">
        <f t="shared" si="10"/>
        <v>1.0382925004675518</v>
      </c>
      <c r="W84" s="122">
        <v>20000</v>
      </c>
      <c r="X84" s="122"/>
      <c r="Y84" s="122">
        <f t="shared" si="11"/>
        <v>22207</v>
      </c>
      <c r="Z84" s="123"/>
      <c r="AB84" s="8" t="s">
        <v>83</v>
      </c>
      <c r="AC84" s="8">
        <v>7000</v>
      </c>
      <c r="AD84" s="8" t="s">
        <v>232</v>
      </c>
      <c r="AE84" s="8" t="s">
        <v>233</v>
      </c>
      <c r="AH84" s="8">
        <f t="shared" si="9"/>
        <v>21388.888888888891</v>
      </c>
    </row>
    <row r="85" spans="1:34" ht="25" customHeight="1" outlineLevel="1" x14ac:dyDescent="0.35">
      <c r="B85" s="154"/>
      <c r="C85" s="154"/>
      <c r="D85" s="154"/>
      <c r="E85" s="6" t="s">
        <v>13</v>
      </c>
      <c r="F85" s="32" t="s">
        <v>17</v>
      </c>
      <c r="G85" s="37">
        <v>43983</v>
      </c>
      <c r="H85" s="61">
        <f t="shared" si="6"/>
        <v>11421.21750514307</v>
      </c>
      <c r="I85" s="61">
        <f t="shared" si="7"/>
        <v>3322.5360014961657</v>
      </c>
      <c r="J85" s="62">
        <f t="shared" si="8"/>
        <v>66.450720029923318</v>
      </c>
      <c r="K85" s="154"/>
      <c r="L85" s="45"/>
      <c r="U85" s="121" t="str" cm="1">
        <f t="array" ref="U85">IF(C85="",INDEX(C81:C85,MATCH(TRUE,INDEX((C81:C85&lt;&gt;""),0),0)),C85)</f>
        <v>Britoil 74</v>
      </c>
      <c r="V85" s="122">
        <f t="shared" si="10"/>
        <v>1.0382925004675518</v>
      </c>
      <c r="W85" s="122">
        <v>20000</v>
      </c>
      <c r="X85" s="122"/>
      <c r="Y85" s="122">
        <f t="shared" si="11"/>
        <v>22207</v>
      </c>
      <c r="Z85" s="123"/>
      <c r="AB85" s="8" t="s">
        <v>84</v>
      </c>
      <c r="AC85" s="8">
        <v>6600</v>
      </c>
      <c r="AD85" s="8" t="s">
        <v>240</v>
      </c>
      <c r="AE85" s="8" t="s">
        <v>241</v>
      </c>
      <c r="AH85" s="8">
        <f t="shared" si="9"/>
        <v>20166.666666666668</v>
      </c>
    </row>
    <row r="86" spans="1:34" ht="25" customHeight="1" outlineLevel="1" x14ac:dyDescent="0.35">
      <c r="B86" s="154"/>
      <c r="C86" s="154"/>
      <c r="D86" s="154"/>
      <c r="E86" s="6" t="s">
        <v>112</v>
      </c>
      <c r="F86" s="32" t="s">
        <v>21</v>
      </c>
      <c r="G86" s="37"/>
      <c r="H86" s="61" t="str">
        <f t="shared" si="6"/>
        <v/>
      </c>
      <c r="I86" s="61" t="str">
        <f t="shared" si="7"/>
        <v/>
      </c>
      <c r="J86" s="62" t="str">
        <f t="shared" si="8"/>
        <v/>
      </c>
      <c r="K86" s="154"/>
      <c r="L86" s="45"/>
      <c r="U86" s="121" t="str" cm="1">
        <f t="array" ref="U86">IF(C86="",INDEX(C82:C86,MATCH(TRUE,INDEX((C82:C86&lt;&gt;""),0),0)),C86)</f>
        <v>Britoil 74</v>
      </c>
      <c r="V86" s="122">
        <f t="shared" si="10"/>
        <v>1.0382925004675518</v>
      </c>
      <c r="W86" s="122">
        <v>20000</v>
      </c>
      <c r="X86" s="122"/>
      <c r="Y86" s="122">
        <f t="shared" si="11"/>
        <v>22207</v>
      </c>
      <c r="Z86" s="123"/>
      <c r="AB86" s="8" t="s">
        <v>85</v>
      </c>
      <c r="AC86" s="8">
        <v>6600</v>
      </c>
      <c r="AD86" s="8" t="s">
        <v>240</v>
      </c>
      <c r="AE86" s="8" t="s">
        <v>241</v>
      </c>
      <c r="AH86" s="8">
        <f t="shared" si="9"/>
        <v>20166.666666666668</v>
      </c>
    </row>
    <row r="87" spans="1:34" ht="25" customHeight="1" outlineLevel="1" x14ac:dyDescent="0.35">
      <c r="B87" s="154"/>
      <c r="C87" s="154"/>
      <c r="D87" s="154"/>
      <c r="E87" s="6" t="s">
        <v>109</v>
      </c>
      <c r="F87" s="32" t="s">
        <v>17</v>
      </c>
      <c r="G87" s="37"/>
      <c r="H87" s="61">
        <f t="shared" si="6"/>
        <v>8617.8277538806797</v>
      </c>
      <c r="I87" s="61">
        <f t="shared" si="7"/>
        <v>1038.2925004675519</v>
      </c>
      <c r="J87" s="62">
        <f t="shared" si="8"/>
        <v>46.723162521039832</v>
      </c>
      <c r="K87" s="154"/>
      <c r="L87" s="45"/>
      <c r="U87" s="121" t="str" cm="1">
        <f t="array" ref="U87">IF(C87="",INDEX(C83:C87,MATCH(TRUE,INDEX((C83:C87&lt;&gt;""),0),0)),C87)</f>
        <v>Britoil 74</v>
      </c>
      <c r="V87" s="122">
        <f t="shared" si="10"/>
        <v>1.0382925004675518</v>
      </c>
      <c r="W87" s="122">
        <v>20000</v>
      </c>
      <c r="X87" s="122"/>
      <c r="Y87" s="122">
        <f t="shared" si="11"/>
        <v>22207</v>
      </c>
      <c r="Z87" s="123"/>
      <c r="AB87" s="8" t="s">
        <v>98</v>
      </c>
      <c r="AC87" s="8">
        <v>6000</v>
      </c>
      <c r="AD87" s="8" t="s">
        <v>242</v>
      </c>
      <c r="AE87" s="8" t="s">
        <v>241</v>
      </c>
      <c r="AH87" s="8">
        <f t="shared" si="9"/>
        <v>18333.333333333332</v>
      </c>
    </row>
    <row r="88" spans="1:34" ht="25" customHeight="1" outlineLevel="1" x14ac:dyDescent="0.35">
      <c r="B88" s="155"/>
      <c r="C88" s="155"/>
      <c r="D88" s="155"/>
      <c r="E88" s="7" t="s">
        <v>14</v>
      </c>
      <c r="F88" s="32" t="s">
        <v>32</v>
      </c>
      <c r="G88" s="38"/>
      <c r="H88" s="63" t="str">
        <f t="shared" ref="H88:H153" si="12">IF(F88="Done", V88*VLOOKUP(E88, $AB$3:$AC$11, 2, FALSE), "")</f>
        <v/>
      </c>
      <c r="I88" s="63" t="str">
        <f t="shared" ref="I88:I153" si="13">IF(F88="Done", V88*VLOOKUP(E88, $AB$3:$AD$11, 3, FALSE), "")</f>
        <v/>
      </c>
      <c r="J88" s="64" t="str">
        <f t="shared" ref="J88:J153" si="14">IF(F88="Done", V88*VLOOKUP(E88, $AB$3:$AE$11, 4, FALSE), "")</f>
        <v/>
      </c>
      <c r="K88" s="155"/>
      <c r="L88" s="46"/>
      <c r="U88" s="121" t="str" cm="1">
        <f t="array" ref="U88">IF(C88="",INDEX(C84:C88,MATCH(TRUE,INDEX((C84:C88&lt;&gt;""),0),0)),C88)</f>
        <v>Britoil 74</v>
      </c>
      <c r="V88" s="122">
        <f t="shared" si="10"/>
        <v>1.0382925004675518</v>
      </c>
      <c r="W88" s="122">
        <v>20000</v>
      </c>
      <c r="X88" s="122"/>
      <c r="Y88" s="122">
        <f t="shared" si="11"/>
        <v>22207</v>
      </c>
      <c r="Z88" s="123"/>
      <c r="AB88" s="8" t="s">
        <v>89</v>
      </c>
      <c r="AC88" s="8">
        <v>6000</v>
      </c>
      <c r="AD88" s="8" t="s">
        <v>243</v>
      </c>
      <c r="AE88" s="8" t="s">
        <v>241</v>
      </c>
      <c r="AH88" s="8">
        <f t="shared" si="9"/>
        <v>18333.333333333332</v>
      </c>
    </row>
    <row r="89" spans="1:34" ht="30" customHeight="1" x14ac:dyDescent="0.35">
      <c r="A89" s="8" t="s">
        <v>136</v>
      </c>
      <c r="B89" s="150">
        <v>17</v>
      </c>
      <c r="C89" s="150" t="s">
        <v>33</v>
      </c>
      <c r="D89" s="150" t="s">
        <v>34</v>
      </c>
      <c r="E89" s="26" t="s">
        <v>105</v>
      </c>
      <c r="F89" s="31"/>
      <c r="G89" s="35"/>
      <c r="H89" s="57" t="str">
        <f t="shared" si="12"/>
        <v/>
      </c>
      <c r="I89" s="57" t="str">
        <f t="shared" si="13"/>
        <v/>
      </c>
      <c r="J89" s="58" t="str">
        <f t="shared" si="14"/>
        <v/>
      </c>
      <c r="K89" s="150" t="s">
        <v>104</v>
      </c>
      <c r="L89" s="41"/>
      <c r="U89" s="121" t="str" cm="1">
        <f t="array" ref="U89">IF(C89="",INDEX(C85:C89,MATCH(TRUE,INDEX((C85:C89&lt;&gt;""),0),0)),C89)</f>
        <v>Britoil 80</v>
      </c>
      <c r="V89" s="122">
        <f t="shared" si="10"/>
        <v>1.1428838601084721</v>
      </c>
      <c r="W89" s="122">
        <v>22000</v>
      </c>
      <c r="X89" s="122"/>
      <c r="Y89" s="122">
        <f t="shared" si="11"/>
        <v>24444</v>
      </c>
      <c r="Z89" s="123"/>
      <c r="AB89" s="8" t="s">
        <v>90</v>
      </c>
      <c r="AC89" s="8">
        <v>6000</v>
      </c>
      <c r="AD89" s="8" t="s">
        <v>244</v>
      </c>
      <c r="AE89" s="8" t="s">
        <v>241</v>
      </c>
      <c r="AH89" s="8">
        <f t="shared" si="9"/>
        <v>18333.333333333332</v>
      </c>
    </row>
    <row r="90" spans="1:34" ht="25" customHeight="1" outlineLevel="1" x14ac:dyDescent="0.35">
      <c r="B90" s="151"/>
      <c r="C90" s="151"/>
      <c r="D90" s="151"/>
      <c r="E90" s="3" t="s">
        <v>13</v>
      </c>
      <c r="F90" s="31" t="s">
        <v>17</v>
      </c>
      <c r="G90" s="35" t="s">
        <v>180</v>
      </c>
      <c r="H90" s="57">
        <f t="shared" si="12"/>
        <v>12571.722461193192</v>
      </c>
      <c r="I90" s="57">
        <f t="shared" si="13"/>
        <v>3657.2283523471106</v>
      </c>
      <c r="J90" s="58">
        <f t="shared" si="14"/>
        <v>73.144567046942214</v>
      </c>
      <c r="K90" s="151"/>
      <c r="L90" s="42"/>
      <c r="U90" s="121" t="str" cm="1">
        <f t="array" ref="U90">IF(C90="",INDEX(C86:C90,MATCH(TRUE,INDEX((C86:C90&lt;&gt;""),0),0)),C90)</f>
        <v>Britoil 80</v>
      </c>
      <c r="V90" s="122">
        <f t="shared" si="10"/>
        <v>1.1428838601084721</v>
      </c>
      <c r="W90" s="122">
        <v>22000</v>
      </c>
      <c r="X90" s="122"/>
      <c r="Y90" s="122">
        <f t="shared" si="11"/>
        <v>24444</v>
      </c>
      <c r="Z90" s="123"/>
      <c r="AB90" s="8" t="s">
        <v>91</v>
      </c>
      <c r="AC90" s="8">
        <v>6000</v>
      </c>
      <c r="AD90" s="8" t="s">
        <v>245</v>
      </c>
      <c r="AE90" s="8" t="s">
        <v>241</v>
      </c>
      <c r="AH90" s="8">
        <f t="shared" si="9"/>
        <v>18333.333333333332</v>
      </c>
    </row>
    <row r="91" spans="1:34" ht="25" customHeight="1" outlineLevel="1" x14ac:dyDescent="0.35">
      <c r="B91" s="151"/>
      <c r="C91" s="151"/>
      <c r="D91" s="151"/>
      <c r="E91" s="3" t="s">
        <v>109</v>
      </c>
      <c r="F91" s="31" t="s">
        <v>21</v>
      </c>
      <c r="G91" s="35"/>
      <c r="H91" s="57" t="str">
        <f t="shared" si="12"/>
        <v/>
      </c>
      <c r="I91" s="57" t="str">
        <f t="shared" si="13"/>
        <v/>
      </c>
      <c r="J91" s="58" t="str">
        <f t="shared" si="14"/>
        <v/>
      </c>
      <c r="K91" s="151"/>
      <c r="L91" s="42"/>
      <c r="U91" s="121" t="str" cm="1">
        <f t="array" ref="U91">IF(C91="",INDEX(C87:C91,MATCH(TRUE,INDEX((C87:C91&lt;&gt;""),0),0)),C91)</f>
        <v>Britoil 80</v>
      </c>
      <c r="V91" s="122">
        <f t="shared" si="10"/>
        <v>1.1428838601084721</v>
      </c>
      <c r="W91" s="122">
        <v>22000</v>
      </c>
      <c r="X91" s="122"/>
      <c r="Y91" s="122">
        <f t="shared" si="11"/>
        <v>24444</v>
      </c>
      <c r="Z91" s="123"/>
      <c r="AB91" s="8" t="s">
        <v>97</v>
      </c>
      <c r="AC91" s="8">
        <v>6000</v>
      </c>
      <c r="AD91" s="8" t="s">
        <v>246</v>
      </c>
      <c r="AE91" s="8" t="s">
        <v>241</v>
      </c>
      <c r="AH91" s="8">
        <f t="shared" si="9"/>
        <v>18333.333333333332</v>
      </c>
    </row>
    <row r="92" spans="1:34" ht="25" customHeight="1" outlineLevel="1" x14ac:dyDescent="0.35">
      <c r="B92" s="151"/>
      <c r="C92" s="151"/>
      <c r="D92" s="151"/>
      <c r="E92" s="3" t="s">
        <v>112</v>
      </c>
      <c r="F92" s="31" t="s">
        <v>21</v>
      </c>
      <c r="G92" s="35"/>
      <c r="H92" s="57" t="str">
        <f t="shared" si="12"/>
        <v/>
      </c>
      <c r="I92" s="57" t="str">
        <f t="shared" si="13"/>
        <v/>
      </c>
      <c r="J92" s="58" t="str">
        <f t="shared" si="14"/>
        <v/>
      </c>
      <c r="K92" s="151"/>
      <c r="L92" s="42"/>
      <c r="U92" s="121" t="str" cm="1">
        <f t="array" ref="U92">IF(C92="",INDEX(C88:C92,MATCH(TRUE,INDEX((C88:C92&lt;&gt;""),0),0)),C92)</f>
        <v>Britoil 80</v>
      </c>
      <c r="V92" s="122">
        <f t="shared" si="10"/>
        <v>1.1428838601084721</v>
      </c>
      <c r="W92" s="122">
        <v>22000</v>
      </c>
      <c r="X92" s="122"/>
      <c r="Y92" s="122">
        <f t="shared" si="11"/>
        <v>24444</v>
      </c>
      <c r="Z92" s="123"/>
      <c r="AB92" s="8" t="s">
        <v>44</v>
      </c>
      <c r="AC92" s="8">
        <v>1000</v>
      </c>
      <c r="AD92" s="8" t="s">
        <v>247</v>
      </c>
      <c r="AE92" s="8" t="s">
        <v>241</v>
      </c>
      <c r="AH92" s="8">
        <f t="shared" si="9"/>
        <v>3055.5555555555557</v>
      </c>
    </row>
    <row r="93" spans="1:34" ht="25" customHeight="1" outlineLevel="1" x14ac:dyDescent="0.35">
      <c r="B93" s="151"/>
      <c r="C93" s="151"/>
      <c r="D93" s="151"/>
      <c r="E93" s="3" t="s">
        <v>113</v>
      </c>
      <c r="F93" s="31" t="s">
        <v>21</v>
      </c>
      <c r="G93" s="35"/>
      <c r="H93" s="57" t="str">
        <f t="shared" si="12"/>
        <v/>
      </c>
      <c r="I93" s="57" t="str">
        <f t="shared" si="13"/>
        <v/>
      </c>
      <c r="J93" s="58" t="str">
        <f t="shared" si="14"/>
        <v/>
      </c>
      <c r="K93" s="151"/>
      <c r="L93" s="42"/>
      <c r="U93" s="121" t="str" cm="1">
        <f t="array" ref="U93">IF(C93="",INDEX(C88:C93,MATCH(TRUE,INDEX((C88:C93&lt;&gt;""),0),0)),C93)</f>
        <v>Britoil 80</v>
      </c>
      <c r="V93" s="122">
        <f t="shared" si="10"/>
        <v>1.1428838601084721</v>
      </c>
      <c r="W93" s="122">
        <v>22000</v>
      </c>
      <c r="X93" s="122"/>
      <c r="Y93" s="122">
        <f t="shared" si="11"/>
        <v>24444</v>
      </c>
      <c r="Z93" s="123"/>
      <c r="AB93" s="8" t="s">
        <v>92</v>
      </c>
      <c r="AC93" s="8">
        <v>5000</v>
      </c>
      <c r="AD93" s="8" t="s">
        <v>238</v>
      </c>
      <c r="AE93" s="8" t="s">
        <v>241</v>
      </c>
      <c r="AH93" s="8">
        <f t="shared" si="9"/>
        <v>15277.777777777777</v>
      </c>
    </row>
    <row r="94" spans="1:34" ht="25" customHeight="1" outlineLevel="1" x14ac:dyDescent="0.35">
      <c r="B94" s="152"/>
      <c r="C94" s="152"/>
      <c r="D94" s="152"/>
      <c r="E94" s="4" t="s">
        <v>14</v>
      </c>
      <c r="F94" s="31" t="s">
        <v>17</v>
      </c>
      <c r="G94" s="35" t="s">
        <v>181</v>
      </c>
      <c r="H94" s="57">
        <f t="shared" si="12"/>
        <v>2857.2096502711802</v>
      </c>
      <c r="I94" s="57">
        <f t="shared" si="13"/>
        <v>3657.2283523471106</v>
      </c>
      <c r="J94" s="58">
        <f t="shared" si="14"/>
        <v>12.571722461193193</v>
      </c>
      <c r="K94" s="152"/>
      <c r="L94" s="43"/>
      <c r="U94" s="121" t="str" cm="1">
        <f t="array" ref="U94">IF(C94="",INDEX(C89:C94,MATCH(TRUE,INDEX((C89:C94&lt;&gt;""),0),0)),C94)</f>
        <v>Britoil 80</v>
      </c>
      <c r="V94" s="122">
        <f t="shared" si="10"/>
        <v>1.1428838601084721</v>
      </c>
      <c r="W94" s="122">
        <v>22000</v>
      </c>
      <c r="X94" s="122"/>
      <c r="Y94" s="122">
        <f t="shared" si="11"/>
        <v>24444</v>
      </c>
      <c r="Z94" s="123"/>
      <c r="AB94" s="8" t="s">
        <v>96</v>
      </c>
      <c r="AC94" s="8">
        <v>8000</v>
      </c>
      <c r="AD94" s="8" t="s">
        <v>248</v>
      </c>
      <c r="AE94" s="8" t="s">
        <v>241</v>
      </c>
      <c r="AH94" s="8">
        <f t="shared" si="9"/>
        <v>24444.444444444445</v>
      </c>
    </row>
    <row r="95" spans="1:34" ht="30" customHeight="1" x14ac:dyDescent="0.35">
      <c r="A95" s="8" t="s">
        <v>136</v>
      </c>
      <c r="B95" s="153">
        <v>18</v>
      </c>
      <c r="C95" s="153" t="s">
        <v>35</v>
      </c>
      <c r="D95" s="153" t="s">
        <v>34</v>
      </c>
      <c r="E95" s="27" t="s">
        <v>105</v>
      </c>
      <c r="F95" s="32"/>
      <c r="G95" s="36"/>
      <c r="H95" s="59" t="str">
        <f t="shared" si="12"/>
        <v/>
      </c>
      <c r="I95" s="59" t="str">
        <f t="shared" si="13"/>
        <v/>
      </c>
      <c r="J95" s="60" t="str">
        <f t="shared" si="14"/>
        <v/>
      </c>
      <c r="K95" s="5"/>
      <c r="L95" s="44"/>
      <c r="U95" s="121" t="str" cm="1">
        <f t="array" ref="U95">IF(C95="",INDEX(C90:C95,MATCH(TRUE,INDEX((C90:C95&lt;&gt;""),0),0)),C95)</f>
        <v>Britoil 81</v>
      </c>
      <c r="V95" s="122">
        <f t="shared" si="10"/>
        <v>1.1428838601084721</v>
      </c>
      <c r="W95" s="122">
        <v>22000</v>
      </c>
      <c r="X95" s="122"/>
      <c r="Y95" s="122">
        <f t="shared" si="11"/>
        <v>24444</v>
      </c>
      <c r="Z95" s="123"/>
      <c r="AB95" s="8" t="s">
        <v>73</v>
      </c>
      <c r="AC95" s="8">
        <v>7000</v>
      </c>
      <c r="AD95" s="8" t="s">
        <v>249</v>
      </c>
      <c r="AE95" s="8" t="s">
        <v>241</v>
      </c>
      <c r="AH95" s="8">
        <f t="shared" si="9"/>
        <v>21388.888888888891</v>
      </c>
    </row>
    <row r="96" spans="1:34" ht="25" customHeight="1" outlineLevel="1" x14ac:dyDescent="0.35">
      <c r="B96" s="154"/>
      <c r="C96" s="154"/>
      <c r="D96" s="154"/>
      <c r="E96" s="6" t="s">
        <v>13</v>
      </c>
      <c r="F96" s="32" t="s">
        <v>17</v>
      </c>
      <c r="G96" s="37"/>
      <c r="H96" s="61">
        <f t="shared" si="12"/>
        <v>12571.722461193192</v>
      </c>
      <c r="I96" s="61">
        <f t="shared" si="13"/>
        <v>3657.2283523471106</v>
      </c>
      <c r="J96" s="62">
        <f t="shared" si="14"/>
        <v>73.144567046942214</v>
      </c>
      <c r="K96" s="6"/>
      <c r="L96" s="45" t="s">
        <v>276</v>
      </c>
      <c r="U96" s="121" t="str" cm="1">
        <f t="array" ref="U96">IF(C96="",INDEX(C91:C96,MATCH(TRUE,INDEX((C91:C96&lt;&gt;""),0),0)),C96)</f>
        <v>Britoil 81</v>
      </c>
      <c r="V96" s="122">
        <f t="shared" si="10"/>
        <v>1.1428838601084721</v>
      </c>
      <c r="W96" s="122">
        <v>22000</v>
      </c>
      <c r="X96" s="122"/>
      <c r="Y96" s="122">
        <f t="shared" si="11"/>
        <v>24444</v>
      </c>
      <c r="Z96" s="123"/>
      <c r="AB96" s="8" t="s">
        <v>82</v>
      </c>
      <c r="AC96" s="8">
        <v>7000</v>
      </c>
      <c r="AD96" s="8" t="s">
        <v>250</v>
      </c>
      <c r="AE96" s="8" t="s">
        <v>241</v>
      </c>
      <c r="AH96" s="8">
        <f t="shared" si="9"/>
        <v>21388.888888888891</v>
      </c>
    </row>
    <row r="97" spans="1:34" ht="25" customHeight="1" outlineLevel="1" x14ac:dyDescent="0.35">
      <c r="B97" s="154"/>
      <c r="C97" s="154"/>
      <c r="D97" s="154"/>
      <c r="E97" s="6" t="s">
        <v>109</v>
      </c>
      <c r="F97" s="32" t="s">
        <v>17</v>
      </c>
      <c r="G97" s="37"/>
      <c r="H97" s="61">
        <f t="shared" si="12"/>
        <v>9485.9360389003177</v>
      </c>
      <c r="I97" s="61">
        <f t="shared" si="13"/>
        <v>1142.8838601084722</v>
      </c>
      <c r="J97" s="62">
        <f t="shared" si="14"/>
        <v>51.429773704881242</v>
      </c>
      <c r="K97" s="6"/>
      <c r="L97" s="45" t="s">
        <v>277</v>
      </c>
      <c r="U97" s="121" t="str" cm="1">
        <f t="array" ref="U97">IF(C97="",INDEX(C92:C97,MATCH(TRUE,INDEX((C92:C97&lt;&gt;""),0),0)),C97)</f>
        <v>Britoil 81</v>
      </c>
      <c r="V97" s="122">
        <f t="shared" si="10"/>
        <v>1.1428838601084721</v>
      </c>
      <c r="W97" s="122">
        <v>22000</v>
      </c>
      <c r="X97" s="122"/>
      <c r="Y97" s="122">
        <f t="shared" si="11"/>
        <v>24444</v>
      </c>
      <c r="Z97" s="123"/>
      <c r="AB97" s="8" t="s">
        <v>292</v>
      </c>
      <c r="AC97" s="8">
        <v>7000</v>
      </c>
      <c r="AD97" s="8" t="s">
        <v>293</v>
      </c>
      <c r="AE97" s="8" t="s">
        <v>241</v>
      </c>
      <c r="AH97" s="8">
        <f t="shared" si="9"/>
        <v>21388.888888888891</v>
      </c>
    </row>
    <row r="98" spans="1:34" ht="25" customHeight="1" outlineLevel="1" x14ac:dyDescent="0.35">
      <c r="B98" s="154"/>
      <c r="C98" s="154"/>
      <c r="D98" s="154"/>
      <c r="E98" s="6" t="s">
        <v>112</v>
      </c>
      <c r="F98" s="32" t="s">
        <v>17</v>
      </c>
      <c r="G98" s="37"/>
      <c r="H98" s="61">
        <f t="shared" si="12"/>
        <v>9143.0708808677773</v>
      </c>
      <c r="I98" s="61">
        <f t="shared" si="13"/>
        <v>1142.8838601084722</v>
      </c>
      <c r="J98" s="62">
        <f t="shared" si="14"/>
        <v>45.715354404338882</v>
      </c>
      <c r="K98" s="6"/>
      <c r="L98" s="45" t="s">
        <v>278</v>
      </c>
      <c r="U98" s="121" t="str" cm="1">
        <f t="array" ref="U98">IF(C98="",INDEX(C93:C98,MATCH(TRUE,INDEX((C93:C98&lt;&gt;""),0),0)),C98)</f>
        <v>Britoil 81</v>
      </c>
      <c r="V98" s="122">
        <f t="shared" si="10"/>
        <v>1.1428838601084721</v>
      </c>
      <c r="W98" s="122">
        <v>22000</v>
      </c>
      <c r="X98" s="122"/>
      <c r="Y98" s="122">
        <f t="shared" si="11"/>
        <v>24444</v>
      </c>
      <c r="Z98" s="123"/>
      <c r="AB98" s="8" t="s">
        <v>291</v>
      </c>
      <c r="AC98" s="8">
        <v>7000</v>
      </c>
      <c r="AD98" s="8" t="s">
        <v>294</v>
      </c>
      <c r="AE98" s="8" t="s">
        <v>241</v>
      </c>
      <c r="AH98" s="8">
        <f t="shared" ref="AH98" si="15">$AH$30 *AC98/ $AC$30</f>
        <v>21388.888888888891</v>
      </c>
    </row>
    <row r="99" spans="1:34" ht="25" customHeight="1" outlineLevel="1" x14ac:dyDescent="0.35">
      <c r="B99" s="154"/>
      <c r="C99" s="154"/>
      <c r="D99" s="154"/>
      <c r="E99" s="6" t="s">
        <v>113</v>
      </c>
      <c r="F99" s="32" t="s">
        <v>21</v>
      </c>
      <c r="G99" s="37"/>
      <c r="H99" s="61" t="str">
        <f t="shared" si="12"/>
        <v/>
      </c>
      <c r="I99" s="61" t="str">
        <f t="shared" si="13"/>
        <v/>
      </c>
      <c r="J99" s="62" t="str">
        <f t="shared" si="14"/>
        <v/>
      </c>
      <c r="K99" s="6"/>
      <c r="L99" s="45"/>
      <c r="U99" s="121" t="str" cm="1">
        <f t="array" ref="U99">IF(C99="",INDEX(C94:C99,MATCH(TRUE,INDEX((C94:C99&lt;&gt;""),0),0)),C99)</f>
        <v>Britoil 81</v>
      </c>
      <c r="V99" s="122">
        <f t="shared" si="10"/>
        <v>1.1428838601084721</v>
      </c>
      <c r="W99" s="122">
        <v>22000</v>
      </c>
      <c r="X99" s="122"/>
      <c r="Y99" s="122">
        <f t="shared" si="11"/>
        <v>24444</v>
      </c>
      <c r="Z99" s="123"/>
    </row>
    <row r="100" spans="1:34" ht="25" customHeight="1" outlineLevel="1" x14ac:dyDescent="0.35">
      <c r="B100" s="155"/>
      <c r="C100" s="155"/>
      <c r="D100" s="155"/>
      <c r="E100" s="7" t="s">
        <v>14</v>
      </c>
      <c r="F100" s="32" t="s">
        <v>17</v>
      </c>
      <c r="G100" s="38"/>
      <c r="H100" s="63">
        <f t="shared" si="12"/>
        <v>2857.2096502711802</v>
      </c>
      <c r="I100" s="63">
        <f t="shared" si="13"/>
        <v>3657.2283523471106</v>
      </c>
      <c r="J100" s="64">
        <f t="shared" si="14"/>
        <v>12.571722461193193</v>
      </c>
      <c r="K100" s="7"/>
      <c r="L100" s="46" t="s">
        <v>279</v>
      </c>
      <c r="U100" s="121" t="str" cm="1">
        <f t="array" ref="U100">IF(C100="",INDEX(C95:C100,MATCH(TRUE,INDEX((C95:C100&lt;&gt;""),0),0)),C100)</f>
        <v>Britoil 81</v>
      </c>
      <c r="V100" s="122">
        <f t="shared" si="10"/>
        <v>1.1428838601084721</v>
      </c>
      <c r="W100" s="122">
        <v>22000</v>
      </c>
      <c r="X100" s="122"/>
      <c r="Y100" s="122">
        <f t="shared" si="11"/>
        <v>24444</v>
      </c>
      <c r="Z100" s="123"/>
      <c r="AC100" s="8" t="s">
        <v>255</v>
      </c>
      <c r="AD100" s="8" t="s">
        <v>256</v>
      </c>
      <c r="AE100" s="8" t="s">
        <v>258</v>
      </c>
    </row>
    <row r="101" spans="1:34" ht="30" customHeight="1" x14ac:dyDescent="0.35">
      <c r="A101" s="8" t="s">
        <v>136</v>
      </c>
      <c r="B101" s="150">
        <v>19</v>
      </c>
      <c r="C101" s="150" t="s">
        <v>36</v>
      </c>
      <c r="D101" s="150" t="s">
        <v>34</v>
      </c>
      <c r="E101" s="26" t="s">
        <v>105</v>
      </c>
      <c r="F101" s="31"/>
      <c r="G101" s="34"/>
      <c r="H101" s="55" t="str">
        <f t="shared" si="12"/>
        <v/>
      </c>
      <c r="I101" s="55" t="str">
        <f t="shared" si="13"/>
        <v/>
      </c>
      <c r="J101" s="56" t="str">
        <f t="shared" si="14"/>
        <v/>
      </c>
      <c r="K101" s="150" t="s">
        <v>142</v>
      </c>
      <c r="L101" s="41"/>
      <c r="U101" s="121" t="str" cm="1">
        <f t="array" ref="U101">IF(C101="",INDEX(C97:C101,MATCH(TRUE,INDEX((C97:C101&lt;&gt;""),0),0)),C101)</f>
        <v>Britoil 82</v>
      </c>
      <c r="V101" s="122">
        <f t="shared" si="10"/>
        <v>1.1428838601084721</v>
      </c>
      <c r="W101" s="122">
        <v>20000</v>
      </c>
      <c r="X101" s="122"/>
      <c r="Y101" s="122">
        <f t="shared" si="11"/>
        <v>24444</v>
      </c>
      <c r="Z101" s="123"/>
      <c r="AC101" s="8">
        <f>SUM(AH30:AH96)</f>
        <v>1342100.8333333335</v>
      </c>
      <c r="AD101" s="8">
        <v>20</v>
      </c>
      <c r="AE101" s="8">
        <v>880</v>
      </c>
    </row>
    <row r="102" spans="1:34" ht="25" customHeight="1" outlineLevel="1" x14ac:dyDescent="0.35">
      <c r="B102" s="151"/>
      <c r="C102" s="151"/>
      <c r="D102" s="151"/>
      <c r="E102" s="3" t="s">
        <v>13</v>
      </c>
      <c r="F102" s="31" t="s">
        <v>17</v>
      </c>
      <c r="G102" s="35"/>
      <c r="H102" s="57">
        <f t="shared" si="12"/>
        <v>12571.722461193192</v>
      </c>
      <c r="I102" s="57">
        <f t="shared" si="13"/>
        <v>3657.2283523471106</v>
      </c>
      <c r="J102" s="58">
        <f t="shared" si="14"/>
        <v>73.144567046942214</v>
      </c>
      <c r="K102" s="151"/>
      <c r="L102" s="42"/>
      <c r="U102" s="121" t="str" cm="1">
        <f t="array" ref="U102">IF(C102="",INDEX(C98:C102,MATCH(TRUE,INDEX((C98:C102&lt;&gt;""),0),0)),C102)</f>
        <v>Britoil 82</v>
      </c>
      <c r="V102" s="122">
        <f t="shared" si="10"/>
        <v>1.1428838601084721</v>
      </c>
      <c r="W102" s="122">
        <v>20000</v>
      </c>
      <c r="X102" s="122"/>
      <c r="Y102" s="122">
        <f t="shared" si="11"/>
        <v>24444</v>
      </c>
      <c r="Z102" s="123"/>
      <c r="AC102" s="8" t="s">
        <v>257</v>
      </c>
      <c r="AD102" s="8" t="s">
        <v>259</v>
      </c>
      <c r="AE102" s="8" t="s">
        <v>260</v>
      </c>
    </row>
    <row r="103" spans="1:34" ht="25" customHeight="1" outlineLevel="1" x14ac:dyDescent="0.35">
      <c r="B103" s="151"/>
      <c r="C103" s="151"/>
      <c r="D103" s="151"/>
      <c r="E103" s="3" t="s">
        <v>109</v>
      </c>
      <c r="F103" s="31" t="s">
        <v>21</v>
      </c>
      <c r="G103" s="35"/>
      <c r="H103" s="57" t="str">
        <f t="shared" si="12"/>
        <v/>
      </c>
      <c r="I103" s="57" t="str">
        <f t="shared" si="13"/>
        <v/>
      </c>
      <c r="J103" s="58" t="str">
        <f t="shared" si="14"/>
        <v/>
      </c>
      <c r="K103" s="151"/>
      <c r="L103" s="42"/>
      <c r="U103" s="121" t="str" cm="1">
        <f t="array" ref="U103">IF(C103="",INDEX(C99:C103,MATCH(TRUE,INDEX((C99:C103&lt;&gt;""),0),0)),C103)</f>
        <v>Britoil 82</v>
      </c>
      <c r="V103" s="122">
        <f t="shared" si="10"/>
        <v>1.1428838601084721</v>
      </c>
      <c r="W103" s="122">
        <v>20000</v>
      </c>
      <c r="X103" s="122"/>
      <c r="Y103" s="122">
        <f t="shared" si="11"/>
        <v>24444</v>
      </c>
      <c r="Z103" s="123"/>
      <c r="AC103" s="8">
        <f>AC101*AD101/1000</f>
        <v>26842.01666666667</v>
      </c>
      <c r="AD103" s="8">
        <f>AC103*0.88</f>
        <v>23620.974666666669</v>
      </c>
      <c r="AE103" s="8">
        <f>AD103*700</f>
        <v>16534682.266666668</v>
      </c>
    </row>
    <row r="104" spans="1:34" ht="25" customHeight="1" outlineLevel="1" x14ac:dyDescent="0.35">
      <c r="B104" s="151"/>
      <c r="C104" s="151"/>
      <c r="D104" s="151"/>
      <c r="E104" s="3" t="s">
        <v>112</v>
      </c>
      <c r="F104" s="31" t="s">
        <v>21</v>
      </c>
      <c r="G104" s="35"/>
      <c r="H104" s="57" t="str">
        <f t="shared" si="12"/>
        <v/>
      </c>
      <c r="I104" s="57" t="str">
        <f t="shared" si="13"/>
        <v/>
      </c>
      <c r="J104" s="58" t="str">
        <f t="shared" si="14"/>
        <v/>
      </c>
      <c r="K104" s="151"/>
      <c r="L104" s="42"/>
      <c r="U104" s="121" t="str" cm="1">
        <f t="array" ref="U104">IF(C104="",INDEX(C100:C104,MATCH(TRUE,INDEX((C100:C104&lt;&gt;""),0),0)),C104)</f>
        <v>Britoil 82</v>
      </c>
      <c r="V104" s="122">
        <f t="shared" si="10"/>
        <v>1.1428838601084721</v>
      </c>
      <c r="W104" s="122">
        <v>20000</v>
      </c>
      <c r="X104" s="122"/>
      <c r="Y104" s="122">
        <f t="shared" si="11"/>
        <v>24444</v>
      </c>
      <c r="Z104" s="123"/>
    </row>
    <row r="105" spans="1:34" ht="25" customHeight="1" outlineLevel="1" x14ac:dyDescent="0.35">
      <c r="B105" s="151"/>
      <c r="C105" s="151"/>
      <c r="D105" s="151"/>
      <c r="E105" s="3" t="s">
        <v>113</v>
      </c>
      <c r="F105" s="31" t="s">
        <v>17</v>
      </c>
      <c r="G105" s="35"/>
      <c r="H105" s="57">
        <f t="shared" si="12"/>
        <v>0</v>
      </c>
      <c r="I105" s="57">
        <f t="shared" si="13"/>
        <v>571.44193005423608</v>
      </c>
      <c r="J105" s="58">
        <f t="shared" si="14"/>
        <v>0</v>
      </c>
      <c r="K105" s="151"/>
      <c r="L105" s="42"/>
      <c r="U105" s="121" t="str" cm="1">
        <f t="array" ref="U105">IF(C105="",INDEX(C99:C105,MATCH(TRUE,INDEX((C99:C105&lt;&gt;""),0),0)),C105)</f>
        <v>Britoil 82</v>
      </c>
      <c r="V105" s="122">
        <f t="shared" si="10"/>
        <v>1.1428838601084721</v>
      </c>
      <c r="W105" s="122">
        <v>20000</v>
      </c>
      <c r="X105" s="122"/>
      <c r="Y105" s="122">
        <f t="shared" si="11"/>
        <v>24444</v>
      </c>
      <c r="Z105" s="123"/>
    </row>
    <row r="106" spans="1:34" ht="25" customHeight="1" outlineLevel="1" x14ac:dyDescent="0.35">
      <c r="B106" s="152"/>
      <c r="C106" s="152"/>
      <c r="D106" s="152"/>
      <c r="E106" s="4" t="s">
        <v>14</v>
      </c>
      <c r="F106" s="31" t="s">
        <v>17</v>
      </c>
      <c r="G106" s="39"/>
      <c r="H106" s="65">
        <f t="shared" si="12"/>
        <v>2857.2096502711802</v>
      </c>
      <c r="I106" s="65">
        <f t="shared" si="13"/>
        <v>3657.2283523471106</v>
      </c>
      <c r="J106" s="66">
        <f t="shared" si="14"/>
        <v>12.571722461193193</v>
      </c>
      <c r="K106" s="152"/>
      <c r="L106" s="43"/>
      <c r="U106" s="121" t="str" cm="1">
        <f t="array" ref="U106">IF(C106="",INDEX(C100:C106,MATCH(TRUE,INDEX((C100:C106&lt;&gt;""),0),0)),C106)</f>
        <v>Britoil 82</v>
      </c>
      <c r="V106" s="122">
        <f t="shared" si="10"/>
        <v>1.1428838601084721</v>
      </c>
      <c r="W106" s="122">
        <v>20000</v>
      </c>
      <c r="X106" s="122"/>
      <c r="Y106" s="122">
        <f t="shared" si="11"/>
        <v>24444</v>
      </c>
      <c r="Z106" s="123"/>
    </row>
    <row r="107" spans="1:34" ht="30" customHeight="1" x14ac:dyDescent="0.35">
      <c r="A107" s="8" t="s">
        <v>136</v>
      </c>
      <c r="B107" s="153">
        <v>20</v>
      </c>
      <c r="C107" s="153" t="s">
        <v>37</v>
      </c>
      <c r="D107" s="153" t="s">
        <v>38</v>
      </c>
      <c r="E107" s="27" t="s">
        <v>105</v>
      </c>
      <c r="F107" s="32"/>
      <c r="G107" s="37"/>
      <c r="H107" s="61" t="str">
        <f t="shared" si="12"/>
        <v/>
      </c>
      <c r="I107" s="61" t="str">
        <f t="shared" si="13"/>
        <v/>
      </c>
      <c r="J107" s="62" t="str">
        <f t="shared" si="14"/>
        <v/>
      </c>
      <c r="K107" s="153"/>
      <c r="L107" s="44"/>
      <c r="U107" s="121" t="str" cm="1">
        <f t="array" ref="U107">IF(C107="",INDEX(C101:C107,MATCH(TRUE,INDEX((C101:C107&lt;&gt;""),0),0)),C107)</f>
        <v>Britoil 120</v>
      </c>
      <c r="V107" s="122">
        <f t="shared" si="10"/>
        <v>1.3</v>
      </c>
      <c r="W107" s="122">
        <v>33000</v>
      </c>
      <c r="X107" s="122" t="s">
        <v>160</v>
      </c>
      <c r="Y107" s="122">
        <f t="shared" si="11"/>
        <v>37400</v>
      </c>
      <c r="Z107" s="123"/>
    </row>
    <row r="108" spans="1:34" ht="25" customHeight="1" outlineLevel="1" x14ac:dyDescent="0.35">
      <c r="B108" s="154"/>
      <c r="C108" s="154"/>
      <c r="D108" s="154"/>
      <c r="E108" s="6" t="s">
        <v>13</v>
      </c>
      <c r="F108" s="32" t="s">
        <v>21</v>
      </c>
      <c r="G108" s="37"/>
      <c r="H108" s="61" t="str">
        <f t="shared" si="12"/>
        <v/>
      </c>
      <c r="I108" s="61" t="str">
        <f t="shared" si="13"/>
        <v/>
      </c>
      <c r="J108" s="62" t="str">
        <f t="shared" si="14"/>
        <v/>
      </c>
      <c r="K108" s="154"/>
      <c r="L108" s="45"/>
      <c r="U108" s="121" t="str" cm="1">
        <f t="array" ref="U108">IF(C108="",INDEX(C102:C108,MATCH(TRUE,INDEX((C102:C108&lt;&gt;""),0),0)),C108)</f>
        <v>Britoil 120</v>
      </c>
      <c r="V108" s="122">
        <f t="shared" si="10"/>
        <v>1.3</v>
      </c>
      <c r="W108" s="122">
        <v>33000</v>
      </c>
      <c r="X108" s="122"/>
      <c r="Y108" s="122">
        <f t="shared" si="11"/>
        <v>37400</v>
      </c>
      <c r="Z108" s="123"/>
    </row>
    <row r="109" spans="1:34" ht="25" customHeight="1" outlineLevel="1" x14ac:dyDescent="0.35">
      <c r="B109" s="154"/>
      <c r="C109" s="154"/>
      <c r="D109" s="154"/>
      <c r="E109" s="6" t="s">
        <v>106</v>
      </c>
      <c r="F109" s="32" t="s">
        <v>17</v>
      </c>
      <c r="G109" s="37">
        <v>45733</v>
      </c>
      <c r="H109" s="61">
        <f t="shared" si="12"/>
        <v>0</v>
      </c>
      <c r="I109" s="61">
        <f t="shared" si="13"/>
        <v>5200</v>
      </c>
      <c r="J109" s="62">
        <f t="shared" si="14"/>
        <v>0</v>
      </c>
      <c r="K109" s="154"/>
      <c r="L109" s="45" t="s">
        <v>128</v>
      </c>
      <c r="U109" s="121" t="str" cm="1">
        <f t="array" ref="U109">IF(C109="",INDEX(C103:C109,MATCH(TRUE,INDEX((C103:C109&lt;&gt;""),0),0)),C109)</f>
        <v>Britoil 120</v>
      </c>
      <c r="V109" s="122">
        <f t="shared" si="10"/>
        <v>1.3</v>
      </c>
      <c r="W109" s="122">
        <v>33000</v>
      </c>
      <c r="X109" s="122"/>
      <c r="Y109" s="122">
        <f t="shared" si="11"/>
        <v>37400</v>
      </c>
      <c r="Z109" s="123"/>
    </row>
    <row r="110" spans="1:34" ht="25" customHeight="1" outlineLevel="1" x14ac:dyDescent="0.35">
      <c r="B110" s="154"/>
      <c r="C110" s="154"/>
      <c r="D110" s="154"/>
      <c r="E110" s="6" t="s">
        <v>112</v>
      </c>
      <c r="F110" s="32" t="s">
        <v>21</v>
      </c>
      <c r="G110" s="37"/>
      <c r="H110" s="61" t="str">
        <f t="shared" si="12"/>
        <v/>
      </c>
      <c r="I110" s="61" t="str">
        <f t="shared" si="13"/>
        <v/>
      </c>
      <c r="J110" s="62" t="str">
        <f t="shared" si="14"/>
        <v/>
      </c>
      <c r="K110" s="154"/>
      <c r="L110" s="45"/>
      <c r="U110" s="121" t="str" cm="1">
        <f t="array" ref="U110">IF(C110="",INDEX(C104:C110,MATCH(TRUE,INDEX((C104:C110&lt;&gt;""),0),0)),C110)</f>
        <v>Britoil 120</v>
      </c>
      <c r="V110" s="122">
        <f t="shared" si="10"/>
        <v>1.3</v>
      </c>
      <c r="W110" s="122">
        <v>33000</v>
      </c>
      <c r="X110" s="122"/>
      <c r="Y110" s="122">
        <f t="shared" si="11"/>
        <v>37400</v>
      </c>
      <c r="Z110" s="123"/>
    </row>
    <row r="111" spans="1:34" ht="25" customHeight="1" outlineLevel="1" x14ac:dyDescent="0.35">
      <c r="B111" s="154"/>
      <c r="C111" s="154"/>
      <c r="D111" s="154"/>
      <c r="E111" s="6" t="s">
        <v>113</v>
      </c>
      <c r="F111" s="32" t="s">
        <v>17</v>
      </c>
      <c r="G111" s="37"/>
      <c r="H111" s="61">
        <f t="shared" si="12"/>
        <v>0</v>
      </c>
      <c r="I111" s="61">
        <f t="shared" si="13"/>
        <v>650</v>
      </c>
      <c r="J111" s="62">
        <f t="shared" si="14"/>
        <v>0</v>
      </c>
      <c r="K111" s="154"/>
      <c r="L111" s="45"/>
      <c r="U111" s="121" t="str" cm="1">
        <f t="array" ref="U111">IF(C111="",INDEX(C105:C111,MATCH(TRUE,INDEX((C105:C111&lt;&gt;""),0),0)),C111)</f>
        <v>Britoil 120</v>
      </c>
      <c r="V111" s="122">
        <f t="shared" si="10"/>
        <v>1.3</v>
      </c>
      <c r="W111" s="122">
        <v>33000</v>
      </c>
      <c r="X111" s="122"/>
      <c r="Y111" s="122">
        <f t="shared" si="11"/>
        <v>37400</v>
      </c>
      <c r="Z111" s="123"/>
    </row>
    <row r="112" spans="1:34" ht="25" customHeight="1" outlineLevel="1" x14ac:dyDescent="0.35">
      <c r="B112" s="154"/>
      <c r="C112" s="154"/>
      <c r="D112" s="154"/>
      <c r="E112" s="6" t="s">
        <v>109</v>
      </c>
      <c r="F112" s="32" t="s">
        <v>21</v>
      </c>
      <c r="G112" s="37"/>
      <c r="H112" s="61" t="str">
        <f t="shared" si="12"/>
        <v/>
      </c>
      <c r="I112" s="61" t="str">
        <f t="shared" si="13"/>
        <v/>
      </c>
      <c r="J112" s="62" t="str">
        <f t="shared" si="14"/>
        <v/>
      </c>
      <c r="K112" s="154"/>
      <c r="L112" s="45"/>
      <c r="U112" s="121" t="str" cm="1">
        <f t="array" ref="U112">IF(C112="",INDEX(C106:C112,MATCH(TRUE,INDEX((C106:C112&lt;&gt;""),0),0)),C112)</f>
        <v>Britoil 120</v>
      </c>
      <c r="V112" s="122">
        <f t="shared" si="10"/>
        <v>1.3</v>
      </c>
      <c r="W112" s="122">
        <v>33000</v>
      </c>
      <c r="X112" s="122"/>
      <c r="Y112" s="122">
        <f t="shared" si="11"/>
        <v>37400</v>
      </c>
      <c r="Z112" s="123"/>
    </row>
    <row r="113" spans="1:26" ht="25" customHeight="1" outlineLevel="1" x14ac:dyDescent="0.35">
      <c r="B113" s="155"/>
      <c r="C113" s="155"/>
      <c r="D113" s="155"/>
      <c r="E113" s="7" t="s">
        <v>14</v>
      </c>
      <c r="F113" s="32" t="s">
        <v>17</v>
      </c>
      <c r="G113" s="37"/>
      <c r="H113" s="61">
        <f t="shared" si="12"/>
        <v>3250</v>
      </c>
      <c r="I113" s="61">
        <f t="shared" si="13"/>
        <v>4160</v>
      </c>
      <c r="J113" s="62">
        <f t="shared" si="14"/>
        <v>14.3</v>
      </c>
      <c r="K113" s="155"/>
      <c r="L113" s="46"/>
      <c r="U113" s="121" t="str" cm="1">
        <f t="array" ref="U113">IF(C113="",INDEX(C107:C113,MATCH(TRUE,INDEX((C107:C113&lt;&gt;""),0),0)),C113)</f>
        <v>Britoil 120</v>
      </c>
      <c r="V113" s="122">
        <f t="shared" si="10"/>
        <v>1.3</v>
      </c>
      <c r="W113" s="122">
        <v>33000</v>
      </c>
      <c r="X113" s="122"/>
      <c r="Y113" s="122">
        <f t="shared" si="11"/>
        <v>37400</v>
      </c>
      <c r="Z113" s="123"/>
    </row>
    <row r="114" spans="1:26" ht="30" customHeight="1" x14ac:dyDescent="0.35">
      <c r="A114" s="8" t="s">
        <v>136</v>
      </c>
      <c r="B114" s="150">
        <v>21</v>
      </c>
      <c r="C114" s="150" t="s">
        <v>39</v>
      </c>
      <c r="D114" s="150" t="s">
        <v>38</v>
      </c>
      <c r="E114" s="26" t="s">
        <v>105</v>
      </c>
      <c r="F114" s="31"/>
      <c r="G114" s="34"/>
      <c r="H114" s="55" t="str">
        <f t="shared" si="12"/>
        <v/>
      </c>
      <c r="I114" s="55" t="str">
        <f t="shared" si="13"/>
        <v/>
      </c>
      <c r="J114" s="56" t="str">
        <f t="shared" si="14"/>
        <v/>
      </c>
      <c r="K114" s="150" t="s">
        <v>147</v>
      </c>
      <c r="L114" s="41"/>
      <c r="U114" s="121" t="str" cm="1">
        <f t="array" ref="U114">IF(C114="",INDEX(C108:C114,MATCH(TRUE,INDEX((C108:C114&lt;&gt;""),0),0)),C114)</f>
        <v>Britoil 121</v>
      </c>
      <c r="V114" s="122">
        <f t="shared" si="10"/>
        <v>1.3</v>
      </c>
      <c r="W114" s="122">
        <v>33000</v>
      </c>
      <c r="X114" s="122" t="s">
        <v>160</v>
      </c>
      <c r="Y114" s="122">
        <f t="shared" si="11"/>
        <v>37400</v>
      </c>
      <c r="Z114" s="123"/>
    </row>
    <row r="115" spans="1:26" ht="25" customHeight="1" outlineLevel="1" x14ac:dyDescent="0.35">
      <c r="B115" s="151"/>
      <c r="C115" s="151"/>
      <c r="D115" s="151"/>
      <c r="E115" s="3" t="s">
        <v>13</v>
      </c>
      <c r="F115" s="31" t="s">
        <v>21</v>
      </c>
      <c r="G115" s="35"/>
      <c r="H115" s="57" t="str">
        <f t="shared" si="12"/>
        <v/>
      </c>
      <c r="I115" s="57" t="str">
        <f t="shared" si="13"/>
        <v/>
      </c>
      <c r="J115" s="58" t="str">
        <f t="shared" si="14"/>
        <v/>
      </c>
      <c r="K115" s="151"/>
      <c r="L115" s="42"/>
      <c r="U115" s="121" t="str" cm="1">
        <f t="array" ref="U115">IF(C115="",INDEX(C109:C115,MATCH(TRUE,INDEX((C109:C115&lt;&gt;""),0),0)),C115)</f>
        <v>Britoil 121</v>
      </c>
      <c r="V115" s="122">
        <f t="shared" si="10"/>
        <v>1.3</v>
      </c>
      <c r="W115" s="122">
        <v>33000</v>
      </c>
      <c r="X115" s="122"/>
      <c r="Y115" s="122">
        <f t="shared" si="11"/>
        <v>37400</v>
      </c>
      <c r="Z115" s="123"/>
    </row>
    <row r="116" spans="1:26" ht="25" customHeight="1" outlineLevel="1" x14ac:dyDescent="0.35">
      <c r="B116" s="151"/>
      <c r="C116" s="151"/>
      <c r="D116" s="151"/>
      <c r="E116" s="3" t="s">
        <v>112</v>
      </c>
      <c r="F116" s="31" t="s">
        <v>21</v>
      </c>
      <c r="G116" s="35"/>
      <c r="H116" s="57" t="str">
        <f t="shared" si="12"/>
        <v/>
      </c>
      <c r="I116" s="57" t="str">
        <f t="shared" si="13"/>
        <v/>
      </c>
      <c r="J116" s="58" t="str">
        <f t="shared" si="14"/>
        <v/>
      </c>
      <c r="K116" s="151"/>
      <c r="L116" s="42"/>
      <c r="U116" s="121" t="str" cm="1">
        <f t="array" ref="U116">IF(C116="",INDEX(C110:C116,MATCH(TRUE,INDEX((C110:C116&lt;&gt;""),0),0)),C116)</f>
        <v>Britoil 121</v>
      </c>
      <c r="V116" s="122">
        <f t="shared" si="10"/>
        <v>1.3</v>
      </c>
      <c r="W116" s="122">
        <v>33000</v>
      </c>
      <c r="X116" s="122"/>
      <c r="Y116" s="122">
        <f t="shared" si="11"/>
        <v>37400</v>
      </c>
      <c r="Z116" s="123"/>
    </row>
    <row r="117" spans="1:26" ht="25" customHeight="1" outlineLevel="1" x14ac:dyDescent="0.35">
      <c r="B117" s="151"/>
      <c r="C117" s="151"/>
      <c r="D117" s="151"/>
      <c r="E117" s="3" t="s">
        <v>113</v>
      </c>
      <c r="F117" s="31" t="s">
        <v>17</v>
      </c>
      <c r="G117" s="35"/>
      <c r="H117" s="57">
        <f t="shared" si="12"/>
        <v>0</v>
      </c>
      <c r="I117" s="57">
        <f t="shared" si="13"/>
        <v>650</v>
      </c>
      <c r="J117" s="58">
        <f t="shared" si="14"/>
        <v>0</v>
      </c>
      <c r="K117" s="151"/>
      <c r="L117" s="42" t="s">
        <v>148</v>
      </c>
      <c r="U117" s="121" t="str" cm="1">
        <f t="array" ref="U117">IF(C117="",INDEX(C111:C117,MATCH(TRUE,INDEX((C111:C117&lt;&gt;""),0),0)),C117)</f>
        <v>Britoil 121</v>
      </c>
      <c r="V117" s="122">
        <f t="shared" si="10"/>
        <v>1.3</v>
      </c>
      <c r="W117" s="122">
        <v>33000</v>
      </c>
      <c r="X117" s="122"/>
      <c r="Y117" s="122">
        <f t="shared" si="11"/>
        <v>37400</v>
      </c>
      <c r="Z117" s="123"/>
    </row>
    <row r="118" spans="1:26" ht="25" customHeight="1" outlineLevel="1" x14ac:dyDescent="0.35">
      <c r="B118" s="151"/>
      <c r="C118" s="151"/>
      <c r="D118" s="151"/>
      <c r="E118" s="3" t="s">
        <v>109</v>
      </c>
      <c r="F118" s="31" t="s">
        <v>21</v>
      </c>
      <c r="G118" s="35"/>
      <c r="H118" s="57" t="str">
        <f t="shared" si="12"/>
        <v/>
      </c>
      <c r="I118" s="57" t="str">
        <f t="shared" si="13"/>
        <v/>
      </c>
      <c r="J118" s="58" t="str">
        <f t="shared" si="14"/>
        <v/>
      </c>
      <c r="K118" s="151"/>
      <c r="L118" s="42"/>
      <c r="U118" s="121" t="str" cm="1">
        <f t="array" ref="U118">IF(C118="",INDEX(C112:C118,MATCH(TRUE,INDEX((C112:C118&lt;&gt;""),0),0)),C118)</f>
        <v>Britoil 121</v>
      </c>
      <c r="V118" s="122">
        <f t="shared" si="10"/>
        <v>1.3</v>
      </c>
      <c r="W118" s="122">
        <v>33000</v>
      </c>
      <c r="X118" s="122"/>
      <c r="Y118" s="122">
        <f t="shared" si="11"/>
        <v>37400</v>
      </c>
      <c r="Z118" s="123"/>
    </row>
    <row r="119" spans="1:26" ht="25" customHeight="1" outlineLevel="1" x14ac:dyDescent="0.35">
      <c r="B119" s="152"/>
      <c r="C119" s="152"/>
      <c r="D119" s="152"/>
      <c r="E119" s="4" t="s">
        <v>14</v>
      </c>
      <c r="F119" s="31" t="s">
        <v>17</v>
      </c>
      <c r="G119" s="39"/>
      <c r="H119" s="65">
        <f t="shared" si="12"/>
        <v>3250</v>
      </c>
      <c r="I119" s="65">
        <f t="shared" si="13"/>
        <v>4160</v>
      </c>
      <c r="J119" s="66">
        <f t="shared" si="14"/>
        <v>14.3</v>
      </c>
      <c r="K119" s="152"/>
      <c r="L119" s="43"/>
      <c r="U119" s="121" t="str" cm="1">
        <f t="array" ref="U119">IF(C119="",INDEX(C113:C119,MATCH(TRUE,INDEX((C113:C119&lt;&gt;""),0),0)),C119)</f>
        <v>Britoil 121</v>
      </c>
      <c r="V119" s="122">
        <f t="shared" si="10"/>
        <v>1.3</v>
      </c>
      <c r="W119" s="122">
        <v>33000</v>
      </c>
      <c r="X119" s="122"/>
      <c r="Y119" s="122">
        <f t="shared" si="11"/>
        <v>37400</v>
      </c>
      <c r="Z119" s="123"/>
    </row>
    <row r="120" spans="1:26" ht="30" customHeight="1" x14ac:dyDescent="0.35">
      <c r="A120" s="8" t="s">
        <v>136</v>
      </c>
      <c r="B120" s="153">
        <v>22</v>
      </c>
      <c r="C120" s="153" t="s">
        <v>40</v>
      </c>
      <c r="D120" s="153" t="s">
        <v>41</v>
      </c>
      <c r="E120" s="27" t="s">
        <v>105</v>
      </c>
      <c r="F120" s="32"/>
      <c r="G120" s="37"/>
      <c r="H120" s="61" t="str">
        <f t="shared" si="12"/>
        <v/>
      </c>
      <c r="I120" s="61" t="str">
        <f t="shared" si="13"/>
        <v/>
      </c>
      <c r="J120" s="62" t="str">
        <f t="shared" si="14"/>
        <v/>
      </c>
      <c r="K120" s="6"/>
      <c r="L120" s="44"/>
      <c r="U120" s="121" t="str" cm="1">
        <f t="array" ref="U120">IF(C120="",INDEX(C114:C120,MATCH(TRUE,INDEX((C114:C120&lt;&gt;""),0),0)),C120)</f>
        <v>Britoil Destiny</v>
      </c>
      <c r="V120" s="122">
        <f t="shared" si="10"/>
        <v>0.98087712736113708</v>
      </c>
      <c r="W120" s="122">
        <v>21600</v>
      </c>
      <c r="X120" s="122"/>
      <c r="Y120" s="122">
        <f t="shared" si="11"/>
        <v>20979</v>
      </c>
      <c r="Z120" s="123"/>
    </row>
    <row r="121" spans="1:26" ht="25" customHeight="1" outlineLevel="1" x14ac:dyDescent="0.35">
      <c r="B121" s="154"/>
      <c r="C121" s="154"/>
      <c r="D121" s="154"/>
      <c r="E121" s="6" t="s">
        <v>13</v>
      </c>
      <c r="F121" s="32" t="s">
        <v>17</v>
      </c>
      <c r="G121" s="37"/>
      <c r="H121" s="61">
        <f t="shared" si="12"/>
        <v>10789.648400972508</v>
      </c>
      <c r="I121" s="61">
        <f t="shared" si="13"/>
        <v>3138.8068075556384</v>
      </c>
      <c r="J121" s="62">
        <f t="shared" si="14"/>
        <v>62.776136151112773</v>
      </c>
      <c r="K121" s="6"/>
      <c r="L121" s="45"/>
      <c r="U121" s="121" t="str" cm="1">
        <f t="array" ref="U121">IF(C121="",INDEX(C115:C121,MATCH(TRUE,INDEX((C115:C121&lt;&gt;""),0),0)),C121)</f>
        <v>Britoil Destiny</v>
      </c>
      <c r="V121" s="122">
        <f t="shared" si="10"/>
        <v>0.98087712736113708</v>
      </c>
      <c r="W121" s="122">
        <v>21600</v>
      </c>
      <c r="X121" s="122"/>
      <c r="Y121" s="122">
        <f t="shared" si="11"/>
        <v>20979</v>
      </c>
      <c r="Z121" s="123"/>
    </row>
    <row r="122" spans="1:26" ht="25" customHeight="1" outlineLevel="1" x14ac:dyDescent="0.35">
      <c r="B122" s="154"/>
      <c r="C122" s="154"/>
      <c r="D122" s="154"/>
      <c r="E122" s="6" t="s">
        <v>106</v>
      </c>
      <c r="F122" s="32" t="s">
        <v>32</v>
      </c>
      <c r="G122" s="37"/>
      <c r="H122" s="61" t="str">
        <f t="shared" si="12"/>
        <v/>
      </c>
      <c r="I122" s="61" t="str">
        <f t="shared" si="13"/>
        <v/>
      </c>
      <c r="J122" s="62" t="str">
        <f t="shared" si="14"/>
        <v/>
      </c>
      <c r="K122" s="6"/>
      <c r="L122" s="45"/>
      <c r="U122" s="121" t="str" cm="1">
        <f t="array" ref="U122">IF(C122="",INDEX(C116:C122,MATCH(TRUE,INDEX((C116:C122&lt;&gt;""),0),0)),C122)</f>
        <v>Britoil Destiny</v>
      </c>
      <c r="V122" s="122">
        <f t="shared" si="10"/>
        <v>0.98087712736113708</v>
      </c>
      <c r="W122" s="122">
        <v>21600</v>
      </c>
      <c r="X122" s="122"/>
      <c r="Y122" s="122">
        <f t="shared" si="11"/>
        <v>20979</v>
      </c>
      <c r="Z122" s="123"/>
    </row>
    <row r="123" spans="1:26" ht="25" customHeight="1" outlineLevel="1" x14ac:dyDescent="0.35">
      <c r="B123" s="154"/>
      <c r="C123" s="154"/>
      <c r="D123" s="154"/>
      <c r="E123" s="6" t="s">
        <v>109</v>
      </c>
      <c r="F123" s="32" t="s">
        <v>21</v>
      </c>
      <c r="G123" s="37"/>
      <c r="H123" s="61" t="str">
        <f t="shared" si="12"/>
        <v/>
      </c>
      <c r="I123" s="61" t="str">
        <f t="shared" si="13"/>
        <v/>
      </c>
      <c r="J123" s="62" t="str">
        <f t="shared" si="14"/>
        <v/>
      </c>
      <c r="K123" s="6"/>
      <c r="L123" s="45"/>
      <c r="U123" s="121" t="str" cm="1">
        <f t="array" ref="U123">IF(C123="",INDEX(C117:C123,MATCH(TRUE,INDEX((C117:C123&lt;&gt;""),0),0)),C123)</f>
        <v>Britoil Destiny</v>
      </c>
      <c r="V123" s="122">
        <f t="shared" si="10"/>
        <v>0.98087712736113708</v>
      </c>
      <c r="W123" s="122">
        <v>21600</v>
      </c>
      <c r="X123" s="122"/>
      <c r="Y123" s="122">
        <f t="shared" si="11"/>
        <v>20979</v>
      </c>
      <c r="Z123" s="123"/>
    </row>
    <row r="124" spans="1:26" ht="25" customHeight="1" outlineLevel="1" x14ac:dyDescent="0.35">
      <c r="B124" s="154"/>
      <c r="C124" s="154"/>
      <c r="D124" s="154"/>
      <c r="E124" s="6" t="s">
        <v>112</v>
      </c>
      <c r="F124" s="32" t="s">
        <v>21</v>
      </c>
      <c r="G124" s="37"/>
      <c r="H124" s="61" t="str">
        <f t="shared" si="12"/>
        <v/>
      </c>
      <c r="I124" s="61" t="str">
        <f t="shared" si="13"/>
        <v/>
      </c>
      <c r="J124" s="62" t="str">
        <f t="shared" si="14"/>
        <v/>
      </c>
      <c r="K124" s="6"/>
      <c r="L124" s="45"/>
      <c r="U124" s="121" t="str" cm="1">
        <f t="array" ref="U124">IF(C124="",INDEX(C118:C124,MATCH(TRUE,INDEX((C118:C124&lt;&gt;""),0),0)),C124)</f>
        <v>Britoil Destiny</v>
      </c>
      <c r="V124" s="122">
        <f t="shared" si="10"/>
        <v>0.98087712736113708</v>
      </c>
      <c r="W124" s="122">
        <v>21600</v>
      </c>
      <c r="X124" s="122"/>
      <c r="Y124" s="122">
        <f t="shared" si="11"/>
        <v>20979</v>
      </c>
      <c r="Z124" s="123"/>
    </row>
    <row r="125" spans="1:26" ht="25" customHeight="1" outlineLevel="1" x14ac:dyDescent="0.35">
      <c r="B125" s="154"/>
      <c r="C125" s="154"/>
      <c r="D125" s="154"/>
      <c r="E125" s="6" t="s">
        <v>113</v>
      </c>
      <c r="F125" s="32" t="s">
        <v>17</v>
      </c>
      <c r="G125" s="37"/>
      <c r="H125" s="61">
        <f t="shared" si="12"/>
        <v>0</v>
      </c>
      <c r="I125" s="61">
        <f t="shared" si="13"/>
        <v>490.43856368056856</v>
      </c>
      <c r="J125" s="62">
        <f t="shared" si="14"/>
        <v>0</v>
      </c>
      <c r="K125" s="6"/>
      <c r="L125" s="45"/>
      <c r="U125" s="121" t="str" cm="1">
        <f t="array" ref="U125">IF(C125="",INDEX(C119:C125,MATCH(TRUE,INDEX((C119:C125&lt;&gt;""),0),0)),C125)</f>
        <v>Britoil Destiny</v>
      </c>
      <c r="V125" s="122">
        <f t="shared" si="10"/>
        <v>0.98087712736113708</v>
      </c>
      <c r="W125" s="122">
        <v>21600</v>
      </c>
      <c r="X125" s="122"/>
      <c r="Y125" s="122">
        <f t="shared" si="11"/>
        <v>20979</v>
      </c>
      <c r="Z125" s="123"/>
    </row>
    <row r="126" spans="1:26" ht="25" customHeight="1" outlineLevel="1" x14ac:dyDescent="0.35">
      <c r="B126" s="155"/>
      <c r="C126" s="155"/>
      <c r="D126" s="155"/>
      <c r="E126" s="7" t="s">
        <v>14</v>
      </c>
      <c r="F126" s="32" t="s">
        <v>108</v>
      </c>
      <c r="G126" s="37"/>
      <c r="H126" s="61" t="str">
        <f t="shared" si="12"/>
        <v/>
      </c>
      <c r="I126" s="61" t="str">
        <f t="shared" si="13"/>
        <v/>
      </c>
      <c r="J126" s="62" t="str">
        <f t="shared" si="14"/>
        <v/>
      </c>
      <c r="K126" s="6"/>
      <c r="L126" s="46"/>
      <c r="U126" s="121" t="str" cm="1">
        <f t="array" ref="U126">IF(C126="",INDEX(C120:C126,MATCH(TRUE,INDEX((C120:C126&lt;&gt;""),0),0)),C126)</f>
        <v>Britoil Destiny</v>
      </c>
      <c r="V126" s="122">
        <f t="shared" si="10"/>
        <v>0.98087712736113708</v>
      </c>
      <c r="W126" s="122">
        <v>21600</v>
      </c>
      <c r="X126" s="122"/>
      <c r="Y126" s="122">
        <f t="shared" si="11"/>
        <v>20979</v>
      </c>
      <c r="Z126" s="123"/>
    </row>
    <row r="127" spans="1:26" ht="30" customHeight="1" x14ac:dyDescent="0.35">
      <c r="A127" s="8" t="s">
        <v>136</v>
      </c>
      <c r="B127" s="150">
        <v>23</v>
      </c>
      <c r="C127" s="150" t="s">
        <v>42</v>
      </c>
      <c r="D127" s="150" t="s">
        <v>41</v>
      </c>
      <c r="E127" s="26" t="s">
        <v>105</v>
      </c>
      <c r="F127" s="31"/>
      <c r="G127" s="34"/>
      <c r="H127" s="55" t="str">
        <f t="shared" si="12"/>
        <v/>
      </c>
      <c r="I127" s="55" t="str">
        <f t="shared" si="13"/>
        <v/>
      </c>
      <c r="J127" s="56" t="str">
        <f t="shared" si="14"/>
        <v/>
      </c>
      <c r="K127" s="2"/>
      <c r="L127" s="41"/>
      <c r="U127" s="121" t="str" cm="1">
        <f t="array" ref="U127">IF(C127="",INDEX(C121:C127,MATCH(TRUE,INDEX((C121:C127&lt;&gt;""),0),0)),C127)</f>
        <v>Britoil Discovery</v>
      </c>
      <c r="V127" s="122">
        <f t="shared" si="10"/>
        <v>1</v>
      </c>
      <c r="W127" s="122">
        <v>21600</v>
      </c>
      <c r="X127" s="122" t="s">
        <v>159</v>
      </c>
      <c r="Y127" s="122">
        <f t="shared" si="11"/>
        <v>21388</v>
      </c>
      <c r="Z127" s="123"/>
    </row>
    <row r="128" spans="1:26" ht="25" customHeight="1" outlineLevel="1" x14ac:dyDescent="0.35">
      <c r="B128" s="151"/>
      <c r="C128" s="151"/>
      <c r="D128" s="151"/>
      <c r="E128" s="3" t="s">
        <v>13</v>
      </c>
      <c r="F128" s="31" t="s">
        <v>17</v>
      </c>
      <c r="G128" s="35"/>
      <c r="H128" s="57">
        <f t="shared" si="12"/>
        <v>11000</v>
      </c>
      <c r="I128" s="57">
        <f t="shared" si="13"/>
        <v>3200</v>
      </c>
      <c r="J128" s="58">
        <f t="shared" si="14"/>
        <v>64</v>
      </c>
      <c r="K128" s="3"/>
      <c r="L128" s="42"/>
      <c r="U128" s="121" t="str" cm="1">
        <f t="array" ref="U128">IF(C128="",INDEX(C122:C128,MATCH(TRUE,INDEX((C122:C128&lt;&gt;""),0),0)),C128)</f>
        <v>Britoil Discovery</v>
      </c>
      <c r="V128" s="122">
        <f t="shared" si="10"/>
        <v>1</v>
      </c>
      <c r="W128" s="122">
        <v>21600</v>
      </c>
      <c r="X128" s="122"/>
      <c r="Y128" s="122">
        <f t="shared" si="11"/>
        <v>21388</v>
      </c>
      <c r="Z128" s="123"/>
    </row>
    <row r="129" spans="1:26" ht="25" customHeight="1" outlineLevel="1" x14ac:dyDescent="0.35">
      <c r="B129" s="151"/>
      <c r="C129" s="151"/>
      <c r="D129" s="151"/>
      <c r="E129" s="3" t="s">
        <v>112</v>
      </c>
      <c r="F129" s="31" t="s">
        <v>21</v>
      </c>
      <c r="G129" s="35"/>
      <c r="H129" s="57" t="str">
        <f t="shared" si="12"/>
        <v/>
      </c>
      <c r="I129" s="57" t="str">
        <f t="shared" si="13"/>
        <v/>
      </c>
      <c r="J129" s="58" t="str">
        <f t="shared" si="14"/>
        <v/>
      </c>
      <c r="K129" s="3"/>
      <c r="L129" s="42"/>
      <c r="U129" s="121" t="str" cm="1">
        <f t="array" ref="U129">IF(C129="",INDEX(C123:C129,MATCH(TRUE,INDEX((C123:C129&lt;&gt;""),0),0)),C129)</f>
        <v>Britoil Discovery</v>
      </c>
      <c r="V129" s="122">
        <f t="shared" si="10"/>
        <v>1</v>
      </c>
      <c r="W129" s="122">
        <v>21600</v>
      </c>
      <c r="X129" s="122"/>
      <c r="Y129" s="122">
        <f t="shared" si="11"/>
        <v>21388</v>
      </c>
      <c r="Z129" s="123"/>
    </row>
    <row r="130" spans="1:26" ht="25" customHeight="1" outlineLevel="1" x14ac:dyDescent="0.35">
      <c r="B130" s="151"/>
      <c r="C130" s="151"/>
      <c r="D130" s="151"/>
      <c r="E130" s="3" t="s">
        <v>113</v>
      </c>
      <c r="F130" s="31" t="s">
        <v>17</v>
      </c>
      <c r="G130" s="35"/>
      <c r="H130" s="57">
        <f t="shared" si="12"/>
        <v>0</v>
      </c>
      <c r="I130" s="57">
        <f t="shared" si="13"/>
        <v>500</v>
      </c>
      <c r="J130" s="58">
        <f t="shared" si="14"/>
        <v>0</v>
      </c>
      <c r="K130" s="3"/>
      <c r="L130" s="42"/>
      <c r="U130" s="121" t="str" cm="1">
        <f t="array" ref="U130">IF(C130="",INDEX(C124:C130,MATCH(TRUE,INDEX((C124:C130&lt;&gt;""),0),0)),C130)</f>
        <v>Britoil Discovery</v>
      </c>
      <c r="V130" s="122">
        <f t="shared" si="10"/>
        <v>1</v>
      </c>
      <c r="W130" s="122">
        <v>21600</v>
      </c>
      <c r="X130" s="122"/>
      <c r="Y130" s="122">
        <f t="shared" si="11"/>
        <v>21388</v>
      </c>
      <c r="Z130" s="123"/>
    </row>
    <row r="131" spans="1:26" ht="25" customHeight="1" outlineLevel="1" x14ac:dyDescent="0.35">
      <c r="B131" s="151"/>
      <c r="C131" s="151"/>
      <c r="D131" s="151"/>
      <c r="E131" s="3" t="s">
        <v>109</v>
      </c>
      <c r="F131" s="31" t="s">
        <v>17</v>
      </c>
      <c r="G131" s="35"/>
      <c r="H131" s="67">
        <f t="shared" si="12"/>
        <v>8300</v>
      </c>
      <c r="I131" s="67">
        <f t="shared" si="13"/>
        <v>1000</v>
      </c>
      <c r="J131" s="58">
        <f t="shared" si="14"/>
        <v>45</v>
      </c>
      <c r="K131" s="3"/>
      <c r="L131" s="42"/>
      <c r="U131" s="121" t="str" cm="1">
        <f t="array" ref="U131">IF(C131="",INDEX(C125:C131,MATCH(TRUE,INDEX((C125:C131&lt;&gt;""),0),0)),C131)</f>
        <v>Britoil Discovery</v>
      </c>
      <c r="V131" s="122">
        <f t="shared" si="10"/>
        <v>1</v>
      </c>
      <c r="W131" s="122">
        <v>21600</v>
      </c>
      <c r="X131" s="122"/>
      <c r="Y131" s="122">
        <f t="shared" si="11"/>
        <v>21388</v>
      </c>
      <c r="Z131" s="123"/>
    </row>
    <row r="132" spans="1:26" ht="25" customHeight="1" outlineLevel="1" x14ac:dyDescent="0.35">
      <c r="B132" s="152"/>
      <c r="C132" s="152"/>
      <c r="D132" s="152"/>
      <c r="E132" s="4" t="s">
        <v>14</v>
      </c>
      <c r="F132" s="31" t="s">
        <v>108</v>
      </c>
      <c r="G132" s="39"/>
      <c r="H132" s="65" t="str">
        <f t="shared" si="12"/>
        <v/>
      </c>
      <c r="I132" s="65" t="str">
        <f t="shared" si="13"/>
        <v/>
      </c>
      <c r="J132" s="66" t="str">
        <f t="shared" si="14"/>
        <v/>
      </c>
      <c r="K132" s="4"/>
      <c r="L132" s="43"/>
      <c r="U132" s="121" t="str" cm="1">
        <f t="array" ref="U132">IF(C132="",INDEX(C126:C132,MATCH(TRUE,INDEX((C126:C132&lt;&gt;""),0),0)),C132)</f>
        <v>Britoil Discovery</v>
      </c>
      <c r="V132" s="122">
        <f t="shared" si="10"/>
        <v>1</v>
      </c>
      <c r="W132" s="122">
        <v>21600</v>
      </c>
      <c r="X132" s="122"/>
      <c r="Y132" s="122">
        <f t="shared" si="11"/>
        <v>21388</v>
      </c>
      <c r="Z132" s="123"/>
    </row>
    <row r="133" spans="1:26" ht="30" customHeight="1" x14ac:dyDescent="0.35">
      <c r="A133" s="8" t="s">
        <v>136</v>
      </c>
      <c r="B133" s="153">
        <v>24</v>
      </c>
      <c r="C133" s="153" t="s">
        <v>43</v>
      </c>
      <c r="D133" s="153" t="s">
        <v>41</v>
      </c>
      <c r="E133" s="27" t="s">
        <v>105</v>
      </c>
      <c r="F133" s="32"/>
      <c r="G133" s="37"/>
      <c r="H133" s="61" t="str">
        <f t="shared" si="12"/>
        <v/>
      </c>
      <c r="I133" s="61" t="str">
        <f t="shared" si="13"/>
        <v/>
      </c>
      <c r="J133" s="62" t="str">
        <f t="shared" si="14"/>
        <v/>
      </c>
      <c r="K133" s="6"/>
      <c r="L133" s="44"/>
      <c r="U133" s="121" t="str" cm="1">
        <f t="array" ref="U133">IF(C133="",INDEX(C127:C133,MATCH(TRUE,INDEX((C127:C133&lt;&gt;""),0),0)),C133)</f>
        <v>Britoil Dragon</v>
      </c>
      <c r="V133" s="122">
        <f t="shared" si="10"/>
        <v>0.98087712736113708</v>
      </c>
      <c r="W133" s="122">
        <v>21600</v>
      </c>
      <c r="X133" s="122"/>
      <c r="Y133" s="122">
        <f t="shared" si="11"/>
        <v>20979</v>
      </c>
      <c r="Z133" s="123"/>
    </row>
    <row r="134" spans="1:26" ht="25" customHeight="1" outlineLevel="1" x14ac:dyDescent="0.35">
      <c r="B134" s="154"/>
      <c r="C134" s="154"/>
      <c r="D134" s="154"/>
      <c r="E134" s="6" t="s">
        <v>13</v>
      </c>
      <c r="F134" s="32" t="s">
        <v>108</v>
      </c>
      <c r="G134" s="37"/>
      <c r="H134" s="61" t="str">
        <f t="shared" si="12"/>
        <v/>
      </c>
      <c r="I134" s="61" t="str">
        <f t="shared" si="13"/>
        <v/>
      </c>
      <c r="J134" s="62" t="str">
        <f t="shared" si="14"/>
        <v/>
      </c>
      <c r="K134" s="6"/>
      <c r="L134" s="45"/>
      <c r="U134" s="121" t="str" cm="1">
        <f t="array" ref="U134">IF(C134="",INDEX(C128:C134,MATCH(TRUE,INDEX((C128:C134&lt;&gt;""),0),0)),C134)</f>
        <v>Britoil Dragon</v>
      </c>
      <c r="V134" s="122">
        <f t="shared" si="10"/>
        <v>0.98087712736113708</v>
      </c>
      <c r="W134" s="122">
        <v>21600</v>
      </c>
      <c r="X134" s="122"/>
      <c r="Y134" s="122">
        <f t="shared" si="11"/>
        <v>20979</v>
      </c>
      <c r="Z134" s="123"/>
    </row>
    <row r="135" spans="1:26" ht="25" customHeight="1" outlineLevel="1" x14ac:dyDescent="0.35">
      <c r="B135" s="154"/>
      <c r="C135" s="154"/>
      <c r="D135" s="154"/>
      <c r="E135" s="6" t="s">
        <v>106</v>
      </c>
      <c r="F135" s="32" t="s">
        <v>32</v>
      </c>
      <c r="G135" s="37"/>
      <c r="H135" s="61" t="str">
        <f t="shared" si="12"/>
        <v/>
      </c>
      <c r="I135" s="61" t="str">
        <f t="shared" si="13"/>
        <v/>
      </c>
      <c r="J135" s="62" t="str">
        <f t="shared" si="14"/>
        <v/>
      </c>
      <c r="K135" s="6"/>
      <c r="L135" s="45"/>
      <c r="U135" s="121" t="str" cm="1">
        <f t="array" ref="U135">IF(C135="",INDEX(C129:C135,MATCH(TRUE,INDEX((C129:C135&lt;&gt;""),0),0)),C135)</f>
        <v>Britoil Dragon</v>
      </c>
      <c r="V135" s="122">
        <f t="shared" si="10"/>
        <v>0.98087712736113708</v>
      </c>
      <c r="W135" s="122">
        <v>21600</v>
      </c>
      <c r="X135" s="122"/>
      <c r="Y135" s="122">
        <f t="shared" si="11"/>
        <v>20979</v>
      </c>
      <c r="Z135" s="123"/>
    </row>
    <row r="136" spans="1:26" ht="25" customHeight="1" outlineLevel="1" x14ac:dyDescent="0.35">
      <c r="B136" s="154"/>
      <c r="C136" s="154"/>
      <c r="D136" s="154"/>
      <c r="E136" s="6" t="s">
        <v>109</v>
      </c>
      <c r="F136" s="32" t="s">
        <v>21</v>
      </c>
      <c r="G136" s="37"/>
      <c r="H136" s="61" t="str">
        <f t="shared" si="12"/>
        <v/>
      </c>
      <c r="I136" s="61" t="str">
        <f t="shared" si="13"/>
        <v/>
      </c>
      <c r="J136" s="62" t="str">
        <f t="shared" si="14"/>
        <v/>
      </c>
      <c r="K136" s="6"/>
      <c r="L136" s="45"/>
      <c r="U136" s="121" t="str" cm="1">
        <f t="array" ref="U136">IF(C136="",INDEX(C130:C136,MATCH(TRUE,INDEX((C130:C136&lt;&gt;""),0),0)),C136)</f>
        <v>Britoil Dragon</v>
      </c>
      <c r="V136" s="122">
        <f t="shared" si="10"/>
        <v>0.98087712736113708</v>
      </c>
      <c r="W136" s="122">
        <v>21600</v>
      </c>
      <c r="X136" s="122"/>
      <c r="Y136" s="122">
        <f t="shared" si="11"/>
        <v>20979</v>
      </c>
      <c r="Z136" s="123"/>
    </row>
    <row r="137" spans="1:26" ht="25" customHeight="1" outlineLevel="1" x14ac:dyDescent="0.35">
      <c r="B137" s="154"/>
      <c r="C137" s="154"/>
      <c r="D137" s="154"/>
      <c r="E137" s="6" t="s">
        <v>112</v>
      </c>
      <c r="F137" s="32" t="s">
        <v>21</v>
      </c>
      <c r="G137" s="37"/>
      <c r="H137" s="61" t="str">
        <f t="shared" si="12"/>
        <v/>
      </c>
      <c r="I137" s="61" t="str">
        <f t="shared" si="13"/>
        <v/>
      </c>
      <c r="J137" s="62" t="str">
        <f t="shared" si="14"/>
        <v/>
      </c>
      <c r="K137" s="6"/>
      <c r="L137" s="45"/>
      <c r="U137" s="121" t="str" cm="1">
        <f t="array" ref="U137">IF(C137="",INDEX(C131:C137,MATCH(TRUE,INDEX((C131:C137&lt;&gt;""),0),0)),C137)</f>
        <v>Britoil Dragon</v>
      </c>
      <c r="V137" s="122">
        <f t="shared" si="10"/>
        <v>0.98087712736113708</v>
      </c>
      <c r="W137" s="122">
        <v>21600</v>
      </c>
      <c r="X137" s="122"/>
      <c r="Y137" s="122">
        <f t="shared" si="11"/>
        <v>20979</v>
      </c>
      <c r="Z137" s="123"/>
    </row>
    <row r="138" spans="1:26" ht="25" customHeight="1" outlineLevel="1" x14ac:dyDescent="0.35">
      <c r="B138" s="154"/>
      <c r="C138" s="154"/>
      <c r="D138" s="154"/>
      <c r="E138" s="6" t="s">
        <v>286</v>
      </c>
      <c r="F138" s="32" t="s">
        <v>17</v>
      </c>
      <c r="G138" s="37">
        <v>45778</v>
      </c>
      <c r="H138" s="61">
        <v>0</v>
      </c>
      <c r="I138" s="61">
        <v>500</v>
      </c>
      <c r="J138" s="62"/>
      <c r="K138" s="6"/>
      <c r="L138" s="45"/>
      <c r="M138" s="8" t="s">
        <v>136</v>
      </c>
      <c r="U138" s="121" t="str" cm="1">
        <f t="array" ref="U138">IF(C138="",INDEX(C132:C138,MATCH(TRUE,INDEX((C132:C138&lt;&gt;""),0),0)),C138)</f>
        <v>Britoil Dragon</v>
      </c>
      <c r="V138" s="122">
        <f t="shared" si="10"/>
        <v>0.98087712736113708</v>
      </c>
      <c r="W138" s="122">
        <v>21600</v>
      </c>
      <c r="X138" s="122"/>
      <c r="Y138" s="122">
        <f t="shared" ref="Y138:Y201" si="16">INT(VLOOKUP(U138, $AB$30:$AH$98, 7, FALSE))</f>
        <v>20979</v>
      </c>
      <c r="Z138" s="123"/>
    </row>
    <row r="139" spans="1:26" ht="25" customHeight="1" outlineLevel="1" x14ac:dyDescent="0.35">
      <c r="B139" s="154"/>
      <c r="C139" s="154"/>
      <c r="D139" s="154"/>
      <c r="E139" s="6" t="s">
        <v>113</v>
      </c>
      <c r="F139" s="32" t="s">
        <v>17</v>
      </c>
      <c r="G139" s="37"/>
      <c r="H139" s="61">
        <f t="shared" si="12"/>
        <v>0</v>
      </c>
      <c r="I139" s="61">
        <f t="shared" si="13"/>
        <v>490.43856368056856</v>
      </c>
      <c r="J139" s="62">
        <f t="shared" si="14"/>
        <v>0</v>
      </c>
      <c r="K139" s="6"/>
      <c r="L139" s="45"/>
      <c r="U139" s="121" t="str" cm="1">
        <f t="array" ref="U139">IF(C139="",INDEX(C132:C139,MATCH(TRUE,INDEX((C132:C139&lt;&gt;""),0),0)),C139)</f>
        <v>Britoil Dragon</v>
      </c>
      <c r="V139" s="122">
        <f t="shared" ref="V139:V202" si="17">MIN(Y139/21388,1.3)</f>
        <v>0.98087712736113708</v>
      </c>
      <c r="W139" s="122">
        <v>21600</v>
      </c>
      <c r="X139" s="122"/>
      <c r="Y139" s="122">
        <f t="shared" si="16"/>
        <v>20979</v>
      </c>
      <c r="Z139" s="123"/>
    </row>
    <row r="140" spans="1:26" ht="25" customHeight="1" outlineLevel="1" x14ac:dyDescent="0.35">
      <c r="B140" s="154"/>
      <c r="C140" s="154"/>
      <c r="D140" s="154"/>
      <c r="E140" s="6" t="s">
        <v>189</v>
      </c>
      <c r="F140" s="32" t="s">
        <v>108</v>
      </c>
      <c r="G140" s="37">
        <v>45787</v>
      </c>
      <c r="H140" s="61">
        <v>0</v>
      </c>
      <c r="I140" s="61">
        <v>3200</v>
      </c>
      <c r="J140" s="62">
        <v>10</v>
      </c>
      <c r="K140" s="6"/>
      <c r="L140" s="45"/>
      <c r="M140" s="8" t="s">
        <v>136</v>
      </c>
      <c r="U140" s="121" t="str" cm="1">
        <f t="array" ref="U140">IF(C140="",INDEX(C133:C140,MATCH(TRUE,INDEX((C133:C140&lt;&gt;""),0),0)),C140)</f>
        <v>Britoil Dragon</v>
      </c>
      <c r="V140" s="122">
        <f t="shared" si="17"/>
        <v>0.98087712736113708</v>
      </c>
      <c r="W140" s="122">
        <v>21600</v>
      </c>
      <c r="X140" s="122"/>
      <c r="Y140" s="122">
        <f t="shared" si="16"/>
        <v>20979</v>
      </c>
      <c r="Z140" s="123"/>
    </row>
    <row r="141" spans="1:26" ht="25" customHeight="1" outlineLevel="1" x14ac:dyDescent="0.35">
      <c r="B141" s="155"/>
      <c r="C141" s="155"/>
      <c r="D141" s="155"/>
      <c r="E141" s="7" t="s">
        <v>14</v>
      </c>
      <c r="F141" s="32" t="s">
        <v>17</v>
      </c>
      <c r="G141" s="37"/>
      <c r="H141" s="61">
        <f t="shared" si="12"/>
        <v>2452.1928184028425</v>
      </c>
      <c r="I141" s="61">
        <f t="shared" si="13"/>
        <v>3138.8068075556384</v>
      </c>
      <c r="J141" s="62">
        <f t="shared" si="14"/>
        <v>10.789648400972508</v>
      </c>
      <c r="K141" s="6"/>
      <c r="L141" s="46"/>
      <c r="U141" s="121" t="str" cm="1">
        <f t="array" ref="U141">IF(C141="",INDEX(C133:C141,MATCH(TRUE,INDEX((C133:C141&lt;&gt;""),0),0)),C141)</f>
        <v>Britoil Dragon</v>
      </c>
      <c r="V141" s="122">
        <f t="shared" si="17"/>
        <v>0.98087712736113708</v>
      </c>
      <c r="W141" s="122">
        <v>21600</v>
      </c>
      <c r="X141" s="122"/>
      <c r="Y141" s="122">
        <f t="shared" si="16"/>
        <v>20979</v>
      </c>
      <c r="Z141" s="123"/>
    </row>
    <row r="142" spans="1:26" ht="30" customHeight="1" x14ac:dyDescent="0.35">
      <c r="A142" s="8" t="s">
        <v>136</v>
      </c>
      <c r="B142" s="150">
        <v>25</v>
      </c>
      <c r="C142" s="150" t="s">
        <v>44</v>
      </c>
      <c r="D142" s="150" t="s">
        <v>45</v>
      </c>
      <c r="E142" s="26" t="s">
        <v>105</v>
      </c>
      <c r="F142" s="31"/>
      <c r="G142" s="34"/>
      <c r="H142" s="55" t="str">
        <f t="shared" si="12"/>
        <v/>
      </c>
      <c r="I142" s="55" t="str">
        <f t="shared" si="13"/>
        <v/>
      </c>
      <c r="J142" s="56" t="str">
        <f t="shared" si="14"/>
        <v/>
      </c>
      <c r="K142" s="2"/>
      <c r="L142" s="41"/>
      <c r="U142" s="121" t="str" cm="1">
        <f t="array" ref="U142">IF(C142="",INDEX(C134:C142,MATCH(TRUE,INDEX((C134:C142&lt;&gt;""),0),0)),C142)</f>
        <v>Britoil Guardian</v>
      </c>
      <c r="V142" s="122">
        <f t="shared" si="17"/>
        <v>0.14283710491864596</v>
      </c>
      <c r="W142" s="122">
        <v>20000</v>
      </c>
      <c r="X142" s="122"/>
      <c r="Y142" s="122">
        <f t="shared" si="16"/>
        <v>3055</v>
      </c>
      <c r="Z142" s="123"/>
    </row>
    <row r="143" spans="1:26" ht="25" customHeight="1" outlineLevel="1" x14ac:dyDescent="0.35">
      <c r="B143" s="151"/>
      <c r="C143" s="151"/>
      <c r="D143" s="151"/>
      <c r="E143" s="3" t="s">
        <v>13</v>
      </c>
      <c r="F143" s="31" t="s">
        <v>32</v>
      </c>
      <c r="G143" s="35"/>
      <c r="H143" s="57" t="str">
        <f t="shared" si="12"/>
        <v/>
      </c>
      <c r="I143" s="57" t="str">
        <f t="shared" si="13"/>
        <v/>
      </c>
      <c r="J143" s="58" t="str">
        <f t="shared" si="14"/>
        <v/>
      </c>
      <c r="K143" s="3"/>
      <c r="L143" s="42"/>
      <c r="U143" s="121" t="str" cm="1">
        <f t="array" ref="U143">IF(C143="",INDEX(C135:C143,MATCH(TRUE,INDEX((C135:C143&lt;&gt;""),0),0)),C143)</f>
        <v>Britoil Guardian</v>
      </c>
      <c r="V143" s="122">
        <f t="shared" si="17"/>
        <v>0.14283710491864596</v>
      </c>
      <c r="W143" s="122">
        <v>20000</v>
      </c>
      <c r="X143" s="122"/>
      <c r="Y143" s="122">
        <f t="shared" si="16"/>
        <v>3055</v>
      </c>
      <c r="Z143" s="123"/>
    </row>
    <row r="144" spans="1:26" ht="25" customHeight="1" outlineLevel="1" x14ac:dyDescent="0.35">
      <c r="B144" s="151"/>
      <c r="C144" s="151"/>
      <c r="D144" s="151"/>
      <c r="E144" s="3" t="s">
        <v>113</v>
      </c>
      <c r="F144" s="31" t="s">
        <v>32</v>
      </c>
      <c r="G144" s="35"/>
      <c r="H144" s="57" t="str">
        <f t="shared" si="12"/>
        <v/>
      </c>
      <c r="I144" s="57" t="str">
        <f t="shared" si="13"/>
        <v/>
      </c>
      <c r="J144" s="58" t="str">
        <f t="shared" si="14"/>
        <v/>
      </c>
      <c r="K144" s="3"/>
      <c r="L144" s="42"/>
      <c r="U144" s="121" t="str" cm="1">
        <f t="array" ref="U144">IF(C144="",INDEX(C136:C144,MATCH(TRUE,INDEX((C136:C144&lt;&gt;""),0),0)),C144)</f>
        <v>Britoil Guardian</v>
      </c>
      <c r="V144" s="122">
        <f t="shared" si="17"/>
        <v>0.14283710491864596</v>
      </c>
      <c r="W144" s="122">
        <v>20000</v>
      </c>
      <c r="X144" s="122"/>
      <c r="Y144" s="122">
        <f t="shared" si="16"/>
        <v>3055</v>
      </c>
      <c r="Z144" s="123"/>
    </row>
    <row r="145" spans="1:26" ht="25" customHeight="1" outlineLevel="1" x14ac:dyDescent="0.35">
      <c r="B145" s="151"/>
      <c r="C145" s="151"/>
      <c r="D145" s="151"/>
      <c r="E145" s="3" t="s">
        <v>112</v>
      </c>
      <c r="F145" s="31" t="s">
        <v>32</v>
      </c>
      <c r="G145" s="35"/>
      <c r="H145" s="57" t="str">
        <f t="shared" si="12"/>
        <v/>
      </c>
      <c r="I145" s="57" t="str">
        <f t="shared" si="13"/>
        <v/>
      </c>
      <c r="J145" s="58" t="str">
        <f t="shared" si="14"/>
        <v/>
      </c>
      <c r="K145" s="3" t="s">
        <v>204</v>
      </c>
      <c r="L145" s="42" t="s">
        <v>204</v>
      </c>
      <c r="U145" s="121" t="str" cm="1">
        <f t="array" ref="U145">IF(C145="",INDEX(C137:C145,MATCH(TRUE,INDEX((C137:C145&lt;&gt;""),0),0)),C145)</f>
        <v>Britoil Guardian</v>
      </c>
      <c r="V145" s="122">
        <f t="shared" si="17"/>
        <v>0.14283710491864596</v>
      </c>
      <c r="W145" s="122">
        <v>20000</v>
      </c>
      <c r="X145" s="122"/>
      <c r="Y145" s="122">
        <f t="shared" si="16"/>
        <v>3055</v>
      </c>
      <c r="Z145" s="123"/>
    </row>
    <row r="146" spans="1:26" ht="25" customHeight="1" outlineLevel="1" x14ac:dyDescent="0.35">
      <c r="B146" s="151"/>
      <c r="C146" s="151"/>
      <c r="D146" s="151"/>
      <c r="E146" s="3" t="s">
        <v>109</v>
      </c>
      <c r="F146" s="31" t="s">
        <v>32</v>
      </c>
      <c r="G146" s="35"/>
      <c r="H146" s="57" t="str">
        <f t="shared" si="12"/>
        <v/>
      </c>
      <c r="I146" s="57" t="str">
        <f t="shared" si="13"/>
        <v/>
      </c>
      <c r="J146" s="58" t="str">
        <f t="shared" si="14"/>
        <v/>
      </c>
      <c r="K146" s="3"/>
      <c r="L146" s="42"/>
      <c r="U146" s="121" t="str" cm="1">
        <f t="array" ref="U146">IF(C146="",INDEX(C139:C146,MATCH(TRUE,INDEX((C139:C146&lt;&gt;""),0),0)),C146)</f>
        <v>Britoil Guardian</v>
      </c>
      <c r="V146" s="122">
        <f t="shared" si="17"/>
        <v>0.14283710491864596</v>
      </c>
      <c r="W146" s="122">
        <v>20000</v>
      </c>
      <c r="X146" s="122"/>
      <c r="Y146" s="122">
        <f t="shared" si="16"/>
        <v>3055</v>
      </c>
      <c r="Z146" s="123"/>
    </row>
    <row r="147" spans="1:26" ht="25" customHeight="1" outlineLevel="1" x14ac:dyDescent="0.35">
      <c r="B147" s="152"/>
      <c r="C147" s="152"/>
      <c r="D147" s="152"/>
      <c r="E147" s="4" t="s">
        <v>14</v>
      </c>
      <c r="F147" s="31" t="s">
        <v>32</v>
      </c>
      <c r="G147" s="39"/>
      <c r="H147" s="65" t="str">
        <f t="shared" si="12"/>
        <v/>
      </c>
      <c r="I147" s="65" t="str">
        <f t="shared" si="13"/>
        <v/>
      </c>
      <c r="J147" s="66" t="str">
        <f t="shared" si="14"/>
        <v/>
      </c>
      <c r="K147" s="4"/>
      <c r="L147" s="43"/>
      <c r="U147" s="121" t="str" cm="1">
        <f t="array" ref="U147">IF(C147="",INDEX(C141:C147,MATCH(TRUE,INDEX((C141:C147&lt;&gt;""),0),0)),C147)</f>
        <v>Britoil Guardian</v>
      </c>
      <c r="V147" s="122">
        <f t="shared" si="17"/>
        <v>0.14283710491864596</v>
      </c>
      <c r="W147" s="122">
        <v>20000</v>
      </c>
      <c r="X147" s="122"/>
      <c r="Y147" s="122">
        <f t="shared" si="16"/>
        <v>3055</v>
      </c>
      <c r="Z147" s="123"/>
    </row>
    <row r="148" spans="1:26" ht="30" customHeight="1" x14ac:dyDescent="0.35">
      <c r="A148" s="8" t="s">
        <v>136</v>
      </c>
      <c r="B148" s="153">
        <v>26</v>
      </c>
      <c r="C148" s="153" t="s">
        <v>46</v>
      </c>
      <c r="D148" s="165" t="s">
        <v>102</v>
      </c>
      <c r="E148" s="27" t="s">
        <v>105</v>
      </c>
      <c r="F148" s="32"/>
      <c r="G148" s="37"/>
      <c r="H148" s="61" t="str">
        <f t="shared" si="12"/>
        <v/>
      </c>
      <c r="I148" s="61" t="str">
        <f t="shared" si="13"/>
        <v/>
      </c>
      <c r="J148" s="62" t="str">
        <f t="shared" si="14"/>
        <v/>
      </c>
      <c r="K148" s="6"/>
      <c r="L148" s="44"/>
      <c r="U148" s="121" t="str" cm="1">
        <f t="array" ref="U148">IF(C148="",INDEX(C142:C148,MATCH(TRUE,INDEX((C142:C148&lt;&gt;""),0),0)),C148)</f>
        <v>BOS Ares</v>
      </c>
      <c r="V148" s="122">
        <f t="shared" si="17"/>
        <v>0.73573966710304839</v>
      </c>
      <c r="W148" s="122">
        <v>18000</v>
      </c>
      <c r="X148" s="122"/>
      <c r="Y148" s="122">
        <f t="shared" si="16"/>
        <v>15736</v>
      </c>
      <c r="Z148" s="123"/>
    </row>
    <row r="149" spans="1:26" ht="25" customHeight="1" outlineLevel="1" x14ac:dyDescent="0.35">
      <c r="B149" s="154"/>
      <c r="C149" s="154"/>
      <c r="D149" s="166"/>
      <c r="E149" s="6" t="s">
        <v>13</v>
      </c>
      <c r="F149" s="32" t="s">
        <v>17</v>
      </c>
      <c r="G149" s="37"/>
      <c r="H149" s="61">
        <f t="shared" si="12"/>
        <v>8093.1363381335323</v>
      </c>
      <c r="I149" s="61">
        <f t="shared" si="13"/>
        <v>2354.366934729755</v>
      </c>
      <c r="J149" s="62">
        <f t="shared" si="14"/>
        <v>47.087338694595097</v>
      </c>
      <c r="K149" s="6"/>
      <c r="L149" s="45"/>
      <c r="U149" s="121" t="str" cm="1">
        <f t="array" ref="U149">IF(C149="",INDEX(C143:C149,MATCH(TRUE,INDEX((C143:C149&lt;&gt;""),0),0)),C149)</f>
        <v>BOS Ares</v>
      </c>
      <c r="V149" s="122">
        <f t="shared" si="17"/>
        <v>0.73573966710304839</v>
      </c>
      <c r="W149" s="122">
        <v>18000</v>
      </c>
      <c r="X149" s="122"/>
      <c r="Y149" s="122">
        <f t="shared" si="16"/>
        <v>15736</v>
      </c>
      <c r="Z149" s="123"/>
    </row>
    <row r="150" spans="1:26" ht="25" customHeight="1" outlineLevel="1" x14ac:dyDescent="0.35">
      <c r="B150" s="154"/>
      <c r="C150" s="154"/>
      <c r="D150" s="154"/>
      <c r="E150" s="6" t="s">
        <v>113</v>
      </c>
      <c r="F150" s="32" t="s">
        <v>32</v>
      </c>
      <c r="G150" s="37"/>
      <c r="H150" s="61" t="str">
        <f t="shared" si="12"/>
        <v/>
      </c>
      <c r="I150" s="61" t="str">
        <f t="shared" si="13"/>
        <v/>
      </c>
      <c r="J150" s="62" t="str">
        <f t="shared" si="14"/>
        <v/>
      </c>
      <c r="K150" s="6"/>
      <c r="L150" s="45"/>
      <c r="U150" s="121" t="str" cm="1">
        <f t="array" ref="U150">IF(C150="",INDEX(C144:C150,MATCH(TRUE,INDEX((C144:C150&lt;&gt;""),0),0)),C150)</f>
        <v>BOS Ares</v>
      </c>
      <c r="V150" s="122">
        <f t="shared" si="17"/>
        <v>0.73573966710304839</v>
      </c>
      <c r="W150" s="122">
        <v>18000</v>
      </c>
      <c r="X150" s="122"/>
      <c r="Y150" s="122">
        <f t="shared" si="16"/>
        <v>15736</v>
      </c>
      <c r="Z150" s="123"/>
    </row>
    <row r="151" spans="1:26" ht="25" customHeight="1" outlineLevel="1" x14ac:dyDescent="0.35">
      <c r="B151" s="154"/>
      <c r="C151" s="154"/>
      <c r="D151" s="154"/>
      <c r="E151" s="6" t="s">
        <v>112</v>
      </c>
      <c r="F151" s="32" t="s">
        <v>17</v>
      </c>
      <c r="G151" s="37"/>
      <c r="H151" s="61">
        <f>2*IF(F151="Done", V151*VLOOKUP(E151, $AB$3:$AC$11, 2, FALSE), "")</f>
        <v>11771.834673648775</v>
      </c>
      <c r="I151" s="61">
        <f>2*IF(F151="Done", V151*VLOOKUP(E151, $AB$3:$AD$11, 3, FALSE), "")</f>
        <v>1471.4793342060968</v>
      </c>
      <c r="J151" s="62">
        <f>2*IF(F151="Done", V151*VLOOKUP(E151, $AB$3:$AE$11, 4, FALSE), "")</f>
        <v>58.859173368243873</v>
      </c>
      <c r="K151" s="6"/>
      <c r="L151" s="45" t="s">
        <v>280</v>
      </c>
      <c r="M151" s="8" t="s">
        <v>136</v>
      </c>
      <c r="U151" s="121" t="str" cm="1">
        <f t="array" ref="U151">IF(C151="",INDEX(C145:C151,MATCH(TRUE,INDEX((C145:C151&lt;&gt;""),0),0)),C151)</f>
        <v>BOS Ares</v>
      </c>
      <c r="V151" s="122">
        <f t="shared" si="17"/>
        <v>0.73573966710304839</v>
      </c>
      <c r="W151" s="122">
        <v>18000</v>
      </c>
      <c r="X151" s="122"/>
      <c r="Y151" s="122">
        <f t="shared" si="16"/>
        <v>15736</v>
      </c>
      <c r="Z151" s="123"/>
    </row>
    <row r="152" spans="1:26" ht="25" customHeight="1" outlineLevel="1" x14ac:dyDescent="0.35">
      <c r="B152" s="154"/>
      <c r="C152" s="154"/>
      <c r="D152" s="154"/>
      <c r="E152" s="6" t="s">
        <v>109</v>
      </c>
      <c r="F152" s="32" t="s">
        <v>17</v>
      </c>
      <c r="G152" s="37"/>
      <c r="H152" s="61">
        <f t="shared" si="12"/>
        <v>6106.6392369553014</v>
      </c>
      <c r="I152" s="61">
        <f t="shared" si="13"/>
        <v>735.73966710304842</v>
      </c>
      <c r="J152" s="62">
        <f t="shared" si="14"/>
        <v>33.108285019637179</v>
      </c>
      <c r="K152" s="6"/>
      <c r="L152" s="45"/>
      <c r="U152" s="121" t="str" cm="1">
        <f t="array" ref="U152">IF(C152="",INDEX(C146:C152,MATCH(TRUE,INDEX((C146:C152&lt;&gt;""),0),0)),C152)</f>
        <v>BOS Ares</v>
      </c>
      <c r="V152" s="122">
        <f t="shared" si="17"/>
        <v>0.73573966710304839</v>
      </c>
      <c r="W152" s="122">
        <v>18000</v>
      </c>
      <c r="X152" s="122"/>
      <c r="Y152" s="122">
        <f t="shared" si="16"/>
        <v>15736</v>
      </c>
      <c r="Z152" s="123"/>
    </row>
    <row r="153" spans="1:26" ht="25" customHeight="1" outlineLevel="1" x14ac:dyDescent="0.35">
      <c r="B153" s="155"/>
      <c r="C153" s="155"/>
      <c r="D153" s="155"/>
      <c r="E153" s="7" t="s">
        <v>14</v>
      </c>
      <c r="F153" s="32" t="s">
        <v>21</v>
      </c>
      <c r="G153" s="37"/>
      <c r="H153" s="61" t="str">
        <f t="shared" si="12"/>
        <v/>
      </c>
      <c r="I153" s="61" t="str">
        <f t="shared" si="13"/>
        <v/>
      </c>
      <c r="J153" s="62" t="str">
        <f t="shared" si="14"/>
        <v/>
      </c>
      <c r="K153" s="6"/>
      <c r="L153" s="46"/>
      <c r="U153" s="121" t="str" cm="1">
        <f t="array" ref="U153">IF(C153="",INDEX(C147:C153,MATCH(TRUE,INDEX((C147:C153&lt;&gt;""),0),0)),C153)</f>
        <v>BOS Ares</v>
      </c>
      <c r="V153" s="122">
        <f t="shared" si="17"/>
        <v>0.73573966710304839</v>
      </c>
      <c r="W153" s="122">
        <v>18000</v>
      </c>
      <c r="X153" s="122"/>
      <c r="Y153" s="122">
        <f t="shared" si="16"/>
        <v>15736</v>
      </c>
      <c r="Z153" s="123"/>
    </row>
    <row r="154" spans="1:26" ht="30" customHeight="1" x14ac:dyDescent="0.35">
      <c r="A154" s="8" t="s">
        <v>136</v>
      </c>
      <c r="B154" s="150">
        <v>27</v>
      </c>
      <c r="C154" s="150" t="s">
        <v>47</v>
      </c>
      <c r="D154" s="167" t="s">
        <v>102</v>
      </c>
      <c r="E154" s="26" t="s">
        <v>105</v>
      </c>
      <c r="F154" s="31"/>
      <c r="G154" s="34"/>
      <c r="H154" s="55" t="str">
        <f t="shared" ref="H154:H217" si="18">IF(F154="Done", V154*VLOOKUP(E154, $AB$3:$AC$11, 2, FALSE), "")</f>
        <v/>
      </c>
      <c r="I154" s="55" t="str">
        <f t="shared" ref="I154:I217" si="19">IF(F154="Done", V154*VLOOKUP(E154, $AB$3:$AD$11, 3, FALSE), "")</f>
        <v/>
      </c>
      <c r="J154" s="56" t="str">
        <f t="shared" ref="J154:J217" si="20">IF(F154="Done", V154*VLOOKUP(E154, $AB$3:$AE$11, 4, FALSE), "")</f>
        <v/>
      </c>
      <c r="K154" s="2"/>
      <c r="L154" s="41"/>
      <c r="U154" s="121" t="str" cm="1">
        <f t="array" ref="U154">IF(C154="",INDEX(C148:C154,MATCH(TRUE,INDEX((C148:C154&lt;&gt;""),0),0)),C154)</f>
        <v>BOS Athena</v>
      </c>
      <c r="V154" s="122">
        <f t="shared" si="17"/>
        <v>0.73573966710304839</v>
      </c>
      <c r="W154" s="122">
        <v>18000</v>
      </c>
      <c r="X154" s="122"/>
      <c r="Y154" s="122">
        <f t="shared" si="16"/>
        <v>15736</v>
      </c>
      <c r="Z154" s="123"/>
    </row>
    <row r="155" spans="1:26" ht="25" customHeight="1" outlineLevel="1" x14ac:dyDescent="0.35">
      <c r="B155" s="151"/>
      <c r="C155" s="151"/>
      <c r="D155" s="168"/>
      <c r="E155" s="3" t="s">
        <v>13</v>
      </c>
      <c r="F155" s="31" t="s">
        <v>21</v>
      </c>
      <c r="G155" s="35"/>
      <c r="H155" s="57" t="str">
        <f t="shared" si="18"/>
        <v/>
      </c>
      <c r="I155" s="57" t="str">
        <f t="shared" si="19"/>
        <v/>
      </c>
      <c r="J155" s="58" t="str">
        <f t="shared" si="20"/>
        <v/>
      </c>
      <c r="K155" s="3"/>
      <c r="L155" s="42"/>
      <c r="U155" s="121" t="str" cm="1">
        <f t="array" ref="U155">IF(C155="",INDEX(C149:C155,MATCH(TRUE,INDEX((C149:C155&lt;&gt;""),0),0)),C155)</f>
        <v>BOS Athena</v>
      </c>
      <c r="V155" s="122">
        <f t="shared" si="17"/>
        <v>0.73573966710304839</v>
      </c>
      <c r="W155" s="122">
        <v>18000</v>
      </c>
      <c r="X155" s="122"/>
      <c r="Y155" s="122">
        <f t="shared" si="16"/>
        <v>15736</v>
      </c>
      <c r="Z155" s="123"/>
    </row>
    <row r="156" spans="1:26" ht="25" customHeight="1" outlineLevel="1" x14ac:dyDescent="0.35">
      <c r="B156" s="151"/>
      <c r="C156" s="151"/>
      <c r="D156" s="168"/>
      <c r="E156" s="3" t="s">
        <v>113</v>
      </c>
      <c r="F156" s="31" t="s">
        <v>32</v>
      </c>
      <c r="G156" s="35"/>
      <c r="H156" s="57" t="str">
        <f t="shared" si="18"/>
        <v/>
      </c>
      <c r="I156" s="57" t="str">
        <f t="shared" si="19"/>
        <v/>
      </c>
      <c r="J156" s="58" t="str">
        <f t="shared" si="20"/>
        <v/>
      </c>
      <c r="K156" s="3"/>
      <c r="L156" s="42"/>
      <c r="U156" s="121" t="str" cm="1">
        <f t="array" ref="U156">IF(C156="",INDEX(C150:C156,MATCH(TRUE,INDEX((C150:C156&lt;&gt;""),0),0)),C156)</f>
        <v>BOS Athena</v>
      </c>
      <c r="V156" s="122">
        <f t="shared" si="17"/>
        <v>0.73573966710304839</v>
      </c>
      <c r="W156" s="122">
        <v>18000</v>
      </c>
      <c r="X156" s="122"/>
      <c r="Y156" s="122">
        <f t="shared" si="16"/>
        <v>15736</v>
      </c>
      <c r="Z156" s="123"/>
    </row>
    <row r="157" spans="1:26" ht="25" customHeight="1" outlineLevel="1" x14ac:dyDescent="0.35">
      <c r="B157" s="151"/>
      <c r="C157" s="151"/>
      <c r="D157" s="168"/>
      <c r="E157" s="3" t="s">
        <v>112</v>
      </c>
      <c r="F157" s="31" t="s">
        <v>17</v>
      </c>
      <c r="G157" s="35" t="s">
        <v>187</v>
      </c>
      <c r="H157" s="57">
        <f>2*IF(F157="Done", V157*VLOOKUP(E157, $AB$3:$AC$11, 2, FALSE), "")</f>
        <v>11771.834673648775</v>
      </c>
      <c r="I157" s="57">
        <f>2*IF(F157="Done", V157*VLOOKUP(E157, $AB$3:$AD$11, 3, FALSE), "")</f>
        <v>1471.4793342060968</v>
      </c>
      <c r="J157" s="58">
        <f>2*IF(F157="Done", V157*VLOOKUP(E157, $AB$3:$AE$11, 4, FALSE), "")</f>
        <v>58.859173368243873</v>
      </c>
      <c r="K157" s="3"/>
      <c r="L157" s="42" t="s">
        <v>280</v>
      </c>
      <c r="M157" s="8" t="s">
        <v>136</v>
      </c>
      <c r="U157" s="121" t="str" cm="1">
        <f t="array" ref="U157">IF(C157="",INDEX(C151:C157,MATCH(TRUE,INDEX((C151:C157&lt;&gt;""),0),0)),C157)</f>
        <v>BOS Athena</v>
      </c>
      <c r="V157" s="122">
        <f t="shared" si="17"/>
        <v>0.73573966710304839</v>
      </c>
      <c r="W157" s="122">
        <v>18000</v>
      </c>
      <c r="X157" s="122"/>
      <c r="Y157" s="122">
        <f t="shared" si="16"/>
        <v>15736</v>
      </c>
      <c r="Z157" s="123"/>
    </row>
    <row r="158" spans="1:26" ht="25" customHeight="1" outlineLevel="1" x14ac:dyDescent="0.35">
      <c r="B158" s="151"/>
      <c r="C158" s="151"/>
      <c r="D158" s="151"/>
      <c r="E158" s="3" t="s">
        <v>109</v>
      </c>
      <c r="F158" s="31" t="s">
        <v>17</v>
      </c>
      <c r="G158" s="35" t="s">
        <v>188</v>
      </c>
      <c r="H158" s="57">
        <f t="shared" si="18"/>
        <v>6106.6392369553014</v>
      </c>
      <c r="I158" s="57">
        <f t="shared" si="19"/>
        <v>735.73966710304842</v>
      </c>
      <c r="J158" s="58">
        <f t="shared" si="20"/>
        <v>33.108285019637179</v>
      </c>
      <c r="K158" s="3"/>
      <c r="L158" s="42"/>
      <c r="U158" s="121" t="str" cm="1">
        <f t="array" ref="U158">IF(C158="",INDEX(C152:C158,MATCH(TRUE,INDEX((C152:C158&lt;&gt;""),0),0)),C158)</f>
        <v>BOS Athena</v>
      </c>
      <c r="V158" s="122">
        <f t="shared" si="17"/>
        <v>0.73573966710304839</v>
      </c>
      <c r="W158" s="122">
        <v>18000</v>
      </c>
      <c r="X158" s="122"/>
      <c r="Y158" s="122">
        <f t="shared" si="16"/>
        <v>15736</v>
      </c>
      <c r="Z158" s="123"/>
    </row>
    <row r="159" spans="1:26" ht="25" customHeight="1" outlineLevel="1" x14ac:dyDescent="0.35">
      <c r="B159" s="152"/>
      <c r="C159" s="152"/>
      <c r="D159" s="152"/>
      <c r="E159" s="4" t="s">
        <v>14</v>
      </c>
      <c r="F159" s="31" t="s">
        <v>21</v>
      </c>
      <c r="G159" s="39"/>
      <c r="H159" s="65" t="str">
        <f t="shared" si="18"/>
        <v/>
      </c>
      <c r="I159" s="65" t="str">
        <f t="shared" si="19"/>
        <v/>
      </c>
      <c r="J159" s="66" t="str">
        <f t="shared" si="20"/>
        <v/>
      </c>
      <c r="K159" s="4"/>
      <c r="L159" s="43"/>
      <c r="U159" s="121" t="str" cm="1">
        <f t="array" ref="U159">IF(C159="",INDEX(C153:C159,MATCH(TRUE,INDEX((C153:C159&lt;&gt;""),0),0)),C159)</f>
        <v>BOS Athena</v>
      </c>
      <c r="V159" s="122">
        <f t="shared" si="17"/>
        <v>0.73573966710304839</v>
      </c>
      <c r="W159" s="122">
        <v>18000</v>
      </c>
      <c r="X159" s="122"/>
      <c r="Y159" s="122">
        <f t="shared" si="16"/>
        <v>15736</v>
      </c>
      <c r="Z159" s="123"/>
    </row>
    <row r="160" spans="1:26" ht="30" customHeight="1" x14ac:dyDescent="0.35">
      <c r="A160" s="8" t="s">
        <v>136</v>
      </c>
      <c r="B160" s="153">
        <v>28</v>
      </c>
      <c r="C160" s="153" t="s">
        <v>48</v>
      </c>
      <c r="D160" s="165" t="s">
        <v>49</v>
      </c>
      <c r="E160" s="27" t="s">
        <v>105</v>
      </c>
      <c r="F160" s="32"/>
      <c r="G160" s="37"/>
      <c r="H160" s="61" t="str">
        <f t="shared" si="18"/>
        <v/>
      </c>
      <c r="I160" s="61" t="str">
        <f t="shared" si="19"/>
        <v/>
      </c>
      <c r="J160" s="62" t="str">
        <f t="shared" si="20"/>
        <v/>
      </c>
      <c r="K160" s="6"/>
      <c r="L160" s="44"/>
      <c r="U160" s="121" t="str" cm="1">
        <f t="array" ref="U160">IF(C160="",INDEX(C154:C160,MATCH(TRUE,INDEX((C154:C160&lt;&gt;""),0),0)),C160)</f>
        <v>BOS Atlanta</v>
      </c>
      <c r="V160" s="122">
        <f t="shared" si="17"/>
        <v>0.73573966710304839</v>
      </c>
      <c r="W160" s="122">
        <v>18000</v>
      </c>
      <c r="X160" s="122"/>
      <c r="Y160" s="122">
        <f t="shared" si="16"/>
        <v>15736</v>
      </c>
      <c r="Z160" s="123"/>
    </row>
    <row r="161" spans="1:26" ht="25" customHeight="1" outlineLevel="1" x14ac:dyDescent="0.35">
      <c r="B161" s="154"/>
      <c r="C161" s="154"/>
      <c r="D161" s="166"/>
      <c r="E161" s="6" t="s">
        <v>13</v>
      </c>
      <c r="F161" s="32" t="s">
        <v>21</v>
      </c>
      <c r="G161" s="37"/>
      <c r="H161" s="61" t="str">
        <f t="shared" si="18"/>
        <v/>
      </c>
      <c r="I161" s="61" t="str">
        <f t="shared" si="19"/>
        <v/>
      </c>
      <c r="J161" s="62" t="str">
        <f t="shared" si="20"/>
        <v/>
      </c>
      <c r="K161" s="6"/>
      <c r="L161" s="45"/>
      <c r="U161" s="121" t="str" cm="1">
        <f t="array" ref="U161">IF(C161="",INDEX(C155:C161,MATCH(TRUE,INDEX((C155:C161&lt;&gt;""),0),0)),C161)</f>
        <v>BOS Atlanta</v>
      </c>
      <c r="V161" s="122">
        <f t="shared" si="17"/>
        <v>0.73573966710304839</v>
      </c>
      <c r="W161" s="122">
        <v>18000</v>
      </c>
      <c r="X161" s="122"/>
      <c r="Y161" s="122">
        <f t="shared" si="16"/>
        <v>15736</v>
      </c>
      <c r="Z161" s="123"/>
    </row>
    <row r="162" spans="1:26" ht="25" customHeight="1" outlineLevel="1" x14ac:dyDescent="0.35">
      <c r="B162" s="154"/>
      <c r="C162" s="154"/>
      <c r="D162" s="166"/>
      <c r="E162" s="6" t="s">
        <v>113</v>
      </c>
      <c r="F162" s="32" t="s">
        <v>32</v>
      </c>
      <c r="G162" s="37"/>
      <c r="H162" s="61" t="str">
        <f t="shared" si="18"/>
        <v/>
      </c>
      <c r="I162" s="61" t="str">
        <f t="shared" si="19"/>
        <v/>
      </c>
      <c r="J162" s="62" t="str">
        <f t="shared" si="20"/>
        <v/>
      </c>
      <c r="K162" s="6"/>
      <c r="L162" s="45"/>
      <c r="U162" s="121" t="str" cm="1">
        <f t="array" ref="U162">IF(C162="",INDEX(C156:C162,MATCH(TRUE,INDEX((C156:C162&lt;&gt;""),0),0)),C162)</f>
        <v>BOS Atlanta</v>
      </c>
      <c r="V162" s="122">
        <f t="shared" si="17"/>
        <v>0.73573966710304839</v>
      </c>
      <c r="W162" s="122">
        <v>18000</v>
      </c>
      <c r="X162" s="122"/>
      <c r="Y162" s="122">
        <f t="shared" si="16"/>
        <v>15736</v>
      </c>
      <c r="Z162" s="123"/>
    </row>
    <row r="163" spans="1:26" ht="25" customHeight="1" outlineLevel="1" x14ac:dyDescent="0.35">
      <c r="B163" s="154"/>
      <c r="C163" s="154"/>
      <c r="D163" s="166"/>
      <c r="E163" s="6" t="s">
        <v>112</v>
      </c>
      <c r="F163" s="32" t="s">
        <v>17</v>
      </c>
      <c r="G163" s="37"/>
      <c r="H163" s="61">
        <f>2*IF(F163="Done", V163*VLOOKUP(E163, $AB$3:$AC$11, 2, FALSE), "")</f>
        <v>11771.834673648775</v>
      </c>
      <c r="I163" s="61">
        <f>2*IF(F163="Done", V163*VLOOKUP(E163, $AB$3:$AD$11, 3, FALSE), "")</f>
        <v>1471.4793342060968</v>
      </c>
      <c r="J163" s="62">
        <f>2*IF(F163="Done", V163*VLOOKUP(E163, $AB$3:$AE$11, 4, FALSE), "")</f>
        <v>58.859173368243873</v>
      </c>
      <c r="K163" s="6"/>
      <c r="L163" s="45" t="s">
        <v>280</v>
      </c>
      <c r="M163" s="8" t="s">
        <v>136</v>
      </c>
      <c r="U163" s="121" t="str" cm="1">
        <f t="array" ref="U163">IF(C163="",INDEX(C157:C163,MATCH(TRUE,INDEX((C157:C163&lt;&gt;""),0),0)),C163)</f>
        <v>BOS Atlanta</v>
      </c>
      <c r="V163" s="122">
        <f t="shared" si="17"/>
        <v>0.73573966710304839</v>
      </c>
      <c r="W163" s="122">
        <v>18000</v>
      </c>
      <c r="X163" s="122"/>
      <c r="Y163" s="122">
        <f t="shared" si="16"/>
        <v>15736</v>
      </c>
      <c r="Z163" s="123"/>
    </row>
    <row r="164" spans="1:26" ht="25" customHeight="1" outlineLevel="1" x14ac:dyDescent="0.35">
      <c r="B164" s="154"/>
      <c r="C164" s="154"/>
      <c r="D164" s="154"/>
      <c r="E164" s="6" t="s">
        <v>109</v>
      </c>
      <c r="F164" s="32" t="s">
        <v>17</v>
      </c>
      <c r="G164" s="37"/>
      <c r="H164" s="61">
        <f t="shared" si="18"/>
        <v>6106.6392369553014</v>
      </c>
      <c r="I164" s="61">
        <f t="shared" si="19"/>
        <v>735.73966710304842</v>
      </c>
      <c r="J164" s="62">
        <f t="shared" si="20"/>
        <v>33.108285019637179</v>
      </c>
      <c r="K164" s="6"/>
      <c r="L164" s="45"/>
      <c r="U164" s="121" t="str" cm="1">
        <f t="array" ref="U164">IF(C164="",INDEX(C158:C164,MATCH(TRUE,INDEX((C158:C164&lt;&gt;""),0),0)),C164)</f>
        <v>BOS Atlanta</v>
      </c>
      <c r="V164" s="122">
        <f t="shared" si="17"/>
        <v>0.73573966710304839</v>
      </c>
      <c r="W164" s="122">
        <v>18000</v>
      </c>
      <c r="X164" s="122"/>
      <c r="Y164" s="122">
        <f t="shared" si="16"/>
        <v>15736</v>
      </c>
      <c r="Z164" s="123"/>
    </row>
    <row r="165" spans="1:26" ht="25" customHeight="1" outlineLevel="1" x14ac:dyDescent="0.35">
      <c r="B165" s="155"/>
      <c r="C165" s="155"/>
      <c r="D165" s="155"/>
      <c r="E165" s="7" t="s">
        <v>14</v>
      </c>
      <c r="F165" s="32" t="s">
        <v>21</v>
      </c>
      <c r="G165" s="37"/>
      <c r="H165" s="61" t="str">
        <f t="shared" si="18"/>
        <v/>
      </c>
      <c r="I165" s="61" t="str">
        <f t="shared" si="19"/>
        <v/>
      </c>
      <c r="J165" s="62" t="str">
        <f t="shared" si="20"/>
        <v/>
      </c>
      <c r="K165" s="6"/>
      <c r="L165" s="46"/>
      <c r="U165" s="121" t="str" cm="1">
        <f t="array" ref="U165">IF(C165="",INDEX(C159:C165,MATCH(TRUE,INDEX((C159:C165&lt;&gt;""),0),0)),C165)</f>
        <v>BOS Atlanta</v>
      </c>
      <c r="V165" s="122">
        <f t="shared" si="17"/>
        <v>0.73573966710304839</v>
      </c>
      <c r="W165" s="122">
        <v>18000</v>
      </c>
      <c r="X165" s="122"/>
      <c r="Y165" s="122">
        <f t="shared" si="16"/>
        <v>15736</v>
      </c>
      <c r="Z165" s="123"/>
    </row>
    <row r="166" spans="1:26" ht="30" customHeight="1" x14ac:dyDescent="0.35">
      <c r="A166" s="8" t="s">
        <v>136</v>
      </c>
      <c r="B166" s="150">
        <v>29</v>
      </c>
      <c r="C166" s="150" t="s">
        <v>50</v>
      </c>
      <c r="D166" s="167" t="s">
        <v>49</v>
      </c>
      <c r="E166" s="26" t="s">
        <v>105</v>
      </c>
      <c r="F166" s="31"/>
      <c r="G166" s="34"/>
      <c r="H166" s="55" t="str">
        <f t="shared" si="18"/>
        <v/>
      </c>
      <c r="I166" s="55" t="str">
        <f t="shared" si="19"/>
        <v/>
      </c>
      <c r="J166" s="56" t="str">
        <f t="shared" si="20"/>
        <v/>
      </c>
      <c r="K166" s="2"/>
      <c r="L166" s="41"/>
      <c r="U166" s="121" t="str" cm="1">
        <f t="array" ref="U166">IF(C166="",INDEX(C160:C166,MATCH(TRUE,INDEX((C160:C166&lt;&gt;""),0),0)),C166)</f>
        <v>BOS Atlas</v>
      </c>
      <c r="V166" s="122">
        <f t="shared" si="17"/>
        <v>0.73573966710304839</v>
      </c>
      <c r="W166" s="122">
        <v>18000</v>
      </c>
      <c r="X166" s="122"/>
      <c r="Y166" s="122">
        <f t="shared" si="16"/>
        <v>15736</v>
      </c>
      <c r="Z166" s="123"/>
    </row>
    <row r="167" spans="1:26" ht="25" customHeight="1" outlineLevel="1" x14ac:dyDescent="0.35">
      <c r="B167" s="151"/>
      <c r="C167" s="151"/>
      <c r="D167" s="168"/>
      <c r="E167" s="3" t="s">
        <v>13</v>
      </c>
      <c r="F167" s="31" t="s">
        <v>21</v>
      </c>
      <c r="G167" s="35"/>
      <c r="H167" s="57" t="str">
        <f t="shared" si="18"/>
        <v/>
      </c>
      <c r="I167" s="57" t="str">
        <f t="shared" si="19"/>
        <v/>
      </c>
      <c r="J167" s="58" t="str">
        <f t="shared" si="20"/>
        <v/>
      </c>
      <c r="K167" s="3"/>
      <c r="L167" s="42"/>
      <c r="U167" s="121" t="str" cm="1">
        <f t="array" ref="U167">IF(C167="",INDEX(C161:C167,MATCH(TRUE,INDEX((C161:C167&lt;&gt;""),0),0)),C167)</f>
        <v>BOS Atlas</v>
      </c>
      <c r="V167" s="122">
        <f t="shared" si="17"/>
        <v>0.73573966710304839</v>
      </c>
      <c r="W167" s="122">
        <v>18000</v>
      </c>
      <c r="X167" s="122"/>
      <c r="Y167" s="122">
        <f t="shared" si="16"/>
        <v>15736</v>
      </c>
      <c r="Z167" s="123"/>
    </row>
    <row r="168" spans="1:26" ht="25" customHeight="1" outlineLevel="1" x14ac:dyDescent="0.35">
      <c r="B168" s="151"/>
      <c r="C168" s="151"/>
      <c r="D168" s="168"/>
      <c r="E168" s="3" t="s">
        <v>113</v>
      </c>
      <c r="F168" s="31" t="s">
        <v>32</v>
      </c>
      <c r="G168" s="35"/>
      <c r="H168" s="57" t="str">
        <f t="shared" si="18"/>
        <v/>
      </c>
      <c r="I168" s="57" t="str">
        <f t="shared" si="19"/>
        <v/>
      </c>
      <c r="J168" s="58" t="str">
        <f t="shared" si="20"/>
        <v/>
      </c>
      <c r="K168" s="3"/>
      <c r="L168" s="42"/>
      <c r="U168" s="121" t="str" cm="1">
        <f t="array" ref="U168">IF(C168="",INDEX(C162:C168,MATCH(TRUE,INDEX((C162:C168&lt;&gt;""),0),0)),C168)</f>
        <v>BOS Atlas</v>
      </c>
      <c r="V168" s="122">
        <f t="shared" si="17"/>
        <v>0.73573966710304839</v>
      </c>
      <c r="W168" s="122">
        <v>18000</v>
      </c>
      <c r="X168" s="122"/>
      <c r="Y168" s="122">
        <f t="shared" si="16"/>
        <v>15736</v>
      </c>
      <c r="Z168" s="123"/>
    </row>
    <row r="169" spans="1:26" ht="25" customHeight="1" outlineLevel="1" x14ac:dyDescent="0.35">
      <c r="B169" s="151"/>
      <c r="C169" s="151"/>
      <c r="D169" s="168"/>
      <c r="E169" s="3" t="s">
        <v>112</v>
      </c>
      <c r="F169" s="31" t="s">
        <v>17</v>
      </c>
      <c r="G169" s="35"/>
      <c r="H169" s="57">
        <f>2*IF(F169="Done", V169*VLOOKUP(E169, $AB$3:$AC$11, 2, FALSE), "")</f>
        <v>11771.834673648775</v>
      </c>
      <c r="I169" s="57">
        <f>2*IF(F169="Done", V169*VLOOKUP(E169, $AB$3:$AD$11, 3, FALSE), "")</f>
        <v>1471.4793342060968</v>
      </c>
      <c r="J169" s="58">
        <f>2*IF(F169="Done", V169*VLOOKUP(E169, $AB$3:$AE$11, 4, FALSE), "")</f>
        <v>58.859173368243873</v>
      </c>
      <c r="K169" s="3"/>
      <c r="L169" s="42" t="s">
        <v>280</v>
      </c>
      <c r="M169" s="8" t="s">
        <v>136</v>
      </c>
      <c r="U169" s="121" t="str" cm="1">
        <f t="array" ref="U169">IF(C169="",INDEX(C163:C169,MATCH(TRUE,INDEX((C163:C169&lt;&gt;""),0),0)),C169)</f>
        <v>BOS Atlas</v>
      </c>
      <c r="V169" s="122">
        <f t="shared" si="17"/>
        <v>0.73573966710304839</v>
      </c>
      <c r="W169" s="122">
        <v>18000</v>
      </c>
      <c r="X169" s="122"/>
      <c r="Y169" s="122">
        <f t="shared" si="16"/>
        <v>15736</v>
      </c>
      <c r="Z169" s="123"/>
    </row>
    <row r="170" spans="1:26" ht="25" customHeight="1" outlineLevel="1" x14ac:dyDescent="0.35">
      <c r="B170" s="151"/>
      <c r="C170" s="151"/>
      <c r="D170" s="151"/>
      <c r="E170" s="3" t="s">
        <v>109</v>
      </c>
      <c r="F170" s="31" t="s">
        <v>17</v>
      </c>
      <c r="G170" s="35"/>
      <c r="H170" s="57">
        <f t="shared" si="18"/>
        <v>6106.6392369553014</v>
      </c>
      <c r="I170" s="57">
        <f t="shared" si="19"/>
        <v>735.73966710304842</v>
      </c>
      <c r="J170" s="58">
        <f t="shared" si="20"/>
        <v>33.108285019637179</v>
      </c>
      <c r="K170" s="3"/>
      <c r="L170" s="42" t="s">
        <v>185</v>
      </c>
      <c r="U170" s="121" t="str" cm="1">
        <f t="array" ref="U170">IF(C170="",INDEX(C164:C170,MATCH(TRUE,INDEX((C164:C170&lt;&gt;""),0),0)),C170)</f>
        <v>BOS Atlas</v>
      </c>
      <c r="V170" s="122">
        <f t="shared" si="17"/>
        <v>0.73573966710304839</v>
      </c>
      <c r="W170" s="122">
        <v>18000</v>
      </c>
      <c r="X170" s="122"/>
      <c r="Y170" s="122">
        <f t="shared" si="16"/>
        <v>15736</v>
      </c>
      <c r="Z170" s="123"/>
    </row>
    <row r="171" spans="1:26" ht="25" customHeight="1" outlineLevel="1" x14ac:dyDescent="0.35">
      <c r="B171" s="152"/>
      <c r="C171" s="152"/>
      <c r="D171" s="152"/>
      <c r="E171" s="4" t="s">
        <v>14</v>
      </c>
      <c r="F171" s="31" t="s">
        <v>21</v>
      </c>
      <c r="G171" s="39"/>
      <c r="H171" s="65" t="str">
        <f t="shared" si="18"/>
        <v/>
      </c>
      <c r="I171" s="65" t="str">
        <f t="shared" si="19"/>
        <v/>
      </c>
      <c r="J171" s="66" t="str">
        <f t="shared" si="20"/>
        <v/>
      </c>
      <c r="K171" s="4"/>
      <c r="L171" s="43"/>
      <c r="U171" s="121" t="str" cm="1">
        <f t="array" ref="U171">IF(C171="",INDEX(C165:C171,MATCH(TRUE,INDEX((C165:C171&lt;&gt;""),0),0)),C171)</f>
        <v>BOS Atlas</v>
      </c>
      <c r="V171" s="122">
        <f t="shared" si="17"/>
        <v>0.73573966710304839</v>
      </c>
      <c r="W171" s="122">
        <v>18000</v>
      </c>
      <c r="X171" s="122"/>
      <c r="Y171" s="122">
        <f t="shared" si="16"/>
        <v>15736</v>
      </c>
      <c r="Z171" s="123"/>
    </row>
    <row r="172" spans="1:26" ht="30" customHeight="1" x14ac:dyDescent="0.35">
      <c r="A172" s="8" t="s">
        <v>136</v>
      </c>
      <c r="B172" s="153">
        <v>30</v>
      </c>
      <c r="C172" s="153" t="s">
        <v>51</v>
      </c>
      <c r="D172" s="165" t="s">
        <v>52</v>
      </c>
      <c r="E172" s="27" t="s">
        <v>105</v>
      </c>
      <c r="F172" s="32"/>
      <c r="G172" s="37"/>
      <c r="H172" s="61" t="str">
        <f t="shared" si="18"/>
        <v/>
      </c>
      <c r="I172" s="61" t="str">
        <f t="shared" si="19"/>
        <v/>
      </c>
      <c r="J172" s="62" t="str">
        <f t="shared" si="20"/>
        <v/>
      </c>
      <c r="K172" s="6"/>
      <c r="L172" s="44"/>
      <c r="U172" s="121" t="str" cm="1">
        <f t="array" ref="U172">IF(C172="",INDEX(C166:C172,MATCH(TRUE,INDEX((C166:C172&lt;&gt;""),0),0)),C172)</f>
        <v>BOS Challenge</v>
      </c>
      <c r="V172" s="122">
        <f t="shared" si="17"/>
        <v>0.92860482513559006</v>
      </c>
      <c r="W172" s="122">
        <v>20000</v>
      </c>
      <c r="X172" s="122"/>
      <c r="Y172" s="122">
        <f t="shared" si="16"/>
        <v>19861</v>
      </c>
      <c r="Z172" s="123"/>
    </row>
    <row r="173" spans="1:26" ht="25" customHeight="1" outlineLevel="1" x14ac:dyDescent="0.35">
      <c r="B173" s="154"/>
      <c r="C173" s="154"/>
      <c r="D173" s="166"/>
      <c r="E173" s="6" t="s">
        <v>13</v>
      </c>
      <c r="F173" s="32" t="s">
        <v>21</v>
      </c>
      <c r="G173" s="37"/>
      <c r="H173" s="61" t="str">
        <f t="shared" si="18"/>
        <v/>
      </c>
      <c r="I173" s="61" t="str">
        <f t="shared" si="19"/>
        <v/>
      </c>
      <c r="J173" s="62" t="str">
        <f t="shared" si="20"/>
        <v/>
      </c>
      <c r="K173" s="6"/>
      <c r="L173" s="45"/>
      <c r="U173" s="121" t="str" cm="1">
        <f t="array" ref="U173">IF(C173="",INDEX(C167:C173,MATCH(TRUE,INDEX((C167:C173&lt;&gt;""),0),0)),C173)</f>
        <v>BOS Challenge</v>
      </c>
      <c r="V173" s="122">
        <f t="shared" si="17"/>
        <v>0.92860482513559006</v>
      </c>
      <c r="W173" s="122">
        <v>20000</v>
      </c>
      <c r="X173" s="122"/>
      <c r="Y173" s="122">
        <f t="shared" si="16"/>
        <v>19861</v>
      </c>
      <c r="Z173" s="123"/>
    </row>
    <row r="174" spans="1:26" ht="25" customHeight="1" outlineLevel="1" x14ac:dyDescent="0.35">
      <c r="B174" s="154"/>
      <c r="C174" s="154"/>
      <c r="D174" s="166"/>
      <c r="E174" s="6" t="s">
        <v>113</v>
      </c>
      <c r="F174" s="32" t="s">
        <v>32</v>
      </c>
      <c r="G174" s="37"/>
      <c r="H174" s="61" t="str">
        <f t="shared" si="18"/>
        <v/>
      </c>
      <c r="I174" s="61" t="str">
        <f t="shared" si="19"/>
        <v/>
      </c>
      <c r="J174" s="62" t="str">
        <f t="shared" si="20"/>
        <v/>
      </c>
      <c r="K174" s="6"/>
      <c r="L174" s="45"/>
      <c r="U174" s="121" t="str" cm="1">
        <f t="array" ref="U174">IF(C174="",INDEX(C168:C174,MATCH(TRUE,INDEX((C168:C174&lt;&gt;""),0),0)),C174)</f>
        <v>BOS Challenge</v>
      </c>
      <c r="V174" s="122">
        <f t="shared" si="17"/>
        <v>0.92860482513559006</v>
      </c>
      <c r="W174" s="122">
        <v>20000</v>
      </c>
      <c r="X174" s="122"/>
      <c r="Y174" s="122">
        <f t="shared" si="16"/>
        <v>19861</v>
      </c>
      <c r="Z174" s="123"/>
    </row>
    <row r="175" spans="1:26" ht="25" customHeight="1" outlineLevel="1" x14ac:dyDescent="0.35">
      <c r="B175" s="154"/>
      <c r="C175" s="154"/>
      <c r="D175" s="166"/>
      <c r="E175" s="6" t="s">
        <v>112</v>
      </c>
      <c r="F175" s="32" t="s">
        <v>17</v>
      </c>
      <c r="G175" s="37"/>
      <c r="H175" s="61">
        <f>2*IF(F175="Done", V175*VLOOKUP(E175, $AB$3:$AC$11, 2, FALSE), "")</f>
        <v>14857.677202169441</v>
      </c>
      <c r="I175" s="61">
        <f>2*IF(F175="Done", V175*VLOOKUP(E175, $AB$3:$AD$11, 3, FALSE), "")</f>
        <v>1857.2096502711802</v>
      </c>
      <c r="J175" s="62">
        <f>2*IF(F175="Done", V175*VLOOKUP(E175, $AB$3:$AE$11, 4, FALSE), "")</f>
        <v>74.288386010847205</v>
      </c>
      <c r="K175" s="6"/>
      <c r="L175" s="45" t="s">
        <v>280</v>
      </c>
      <c r="M175" s="8" t="s">
        <v>136</v>
      </c>
      <c r="U175" s="121" t="str" cm="1">
        <f t="array" ref="U175">IF(C175="",INDEX(C169:C175,MATCH(TRUE,INDEX((C169:C175&lt;&gt;""),0),0)),C175)</f>
        <v>BOS Challenge</v>
      </c>
      <c r="V175" s="122">
        <f t="shared" si="17"/>
        <v>0.92860482513559006</v>
      </c>
      <c r="W175" s="122">
        <v>20000</v>
      </c>
      <c r="X175" s="122"/>
      <c r="Y175" s="122">
        <f t="shared" si="16"/>
        <v>19861</v>
      </c>
      <c r="Z175" s="123"/>
    </row>
    <row r="176" spans="1:26" ht="25" customHeight="1" outlineLevel="1" x14ac:dyDescent="0.35">
      <c r="B176" s="154"/>
      <c r="C176" s="154"/>
      <c r="D176" s="154"/>
      <c r="E176" s="6" t="s">
        <v>109</v>
      </c>
      <c r="F176" s="32" t="s">
        <v>21</v>
      </c>
      <c r="G176" s="37"/>
      <c r="H176" s="61" t="str">
        <f t="shared" si="18"/>
        <v/>
      </c>
      <c r="I176" s="61" t="str">
        <f t="shared" si="19"/>
        <v/>
      </c>
      <c r="J176" s="62" t="str">
        <f t="shared" si="20"/>
        <v/>
      </c>
      <c r="K176" s="6"/>
      <c r="L176" s="45"/>
      <c r="U176" s="121" t="str" cm="1">
        <f t="array" ref="U176">IF(C176="",INDEX(C170:C176,MATCH(TRUE,INDEX((C170:C176&lt;&gt;""),0),0)),C176)</f>
        <v>BOS Challenge</v>
      </c>
      <c r="V176" s="122">
        <f t="shared" si="17"/>
        <v>0.92860482513559006</v>
      </c>
      <c r="W176" s="122">
        <v>20000</v>
      </c>
      <c r="X176" s="122"/>
      <c r="Y176" s="122">
        <f t="shared" si="16"/>
        <v>19861</v>
      </c>
      <c r="Z176" s="123"/>
    </row>
    <row r="177" spans="1:26" ht="25" customHeight="1" outlineLevel="1" x14ac:dyDescent="0.35">
      <c r="B177" s="155"/>
      <c r="C177" s="155"/>
      <c r="D177" s="155"/>
      <c r="E177" s="7" t="s">
        <v>14</v>
      </c>
      <c r="F177" s="32" t="s">
        <v>17</v>
      </c>
      <c r="G177" s="37"/>
      <c r="H177" s="61">
        <f t="shared" si="18"/>
        <v>2321.512062838975</v>
      </c>
      <c r="I177" s="61">
        <f t="shared" si="19"/>
        <v>2971.5354404338882</v>
      </c>
      <c r="J177" s="62">
        <f t="shared" si="20"/>
        <v>10.214653076491491</v>
      </c>
      <c r="K177" s="6"/>
      <c r="L177" s="46"/>
      <c r="U177" s="121" t="str" cm="1">
        <f t="array" ref="U177">IF(C177="",INDEX(C171:C177,MATCH(TRUE,INDEX((C171:C177&lt;&gt;""),0),0)),C177)</f>
        <v>BOS Challenge</v>
      </c>
      <c r="V177" s="122">
        <f t="shared" si="17"/>
        <v>0.92860482513559006</v>
      </c>
      <c r="W177" s="122">
        <v>20000</v>
      </c>
      <c r="X177" s="122"/>
      <c r="Y177" s="122">
        <f t="shared" si="16"/>
        <v>19861</v>
      </c>
      <c r="Z177" s="123"/>
    </row>
    <row r="178" spans="1:26" ht="30" customHeight="1" x14ac:dyDescent="0.35">
      <c r="A178" s="8" t="s">
        <v>136</v>
      </c>
      <c r="B178" s="150">
        <v>31</v>
      </c>
      <c r="C178" s="150" t="s">
        <v>53</v>
      </c>
      <c r="D178" s="167" t="s">
        <v>52</v>
      </c>
      <c r="E178" s="26" t="s">
        <v>105</v>
      </c>
      <c r="F178" s="31"/>
      <c r="G178" s="34"/>
      <c r="H178" s="55" t="str">
        <f t="shared" si="18"/>
        <v/>
      </c>
      <c r="I178" s="55" t="str">
        <f t="shared" si="19"/>
        <v/>
      </c>
      <c r="J178" s="56" t="str">
        <f t="shared" si="20"/>
        <v/>
      </c>
      <c r="K178" s="150" t="s">
        <v>179</v>
      </c>
      <c r="L178" s="41"/>
      <c r="U178" s="121" t="str" cm="1">
        <f t="array" ref="U178">IF(C178="",INDEX(C172:C178,MATCH(TRUE,INDEX((C172:C178&lt;&gt;""),0),0)),C178)</f>
        <v>BOS Champion</v>
      </c>
      <c r="V178" s="122">
        <f t="shared" si="17"/>
        <v>0.92860482513559006</v>
      </c>
      <c r="W178" s="122">
        <v>20000</v>
      </c>
      <c r="X178" s="122"/>
      <c r="Y178" s="122">
        <f t="shared" si="16"/>
        <v>19861</v>
      </c>
      <c r="Z178" s="123"/>
    </row>
    <row r="179" spans="1:26" ht="25" customHeight="1" outlineLevel="1" x14ac:dyDescent="0.35">
      <c r="B179" s="151"/>
      <c r="C179" s="151"/>
      <c r="D179" s="168"/>
      <c r="E179" s="3" t="s">
        <v>13</v>
      </c>
      <c r="F179" s="31" t="s">
        <v>17</v>
      </c>
      <c r="G179" s="35">
        <v>42124</v>
      </c>
      <c r="H179" s="57">
        <f t="shared" si="18"/>
        <v>10214.653076491491</v>
      </c>
      <c r="I179" s="57">
        <f t="shared" si="19"/>
        <v>2971.5354404338882</v>
      </c>
      <c r="J179" s="58">
        <f t="shared" si="20"/>
        <v>59.430708808677764</v>
      </c>
      <c r="K179" s="151"/>
      <c r="L179" s="42"/>
      <c r="U179" s="121" t="str" cm="1">
        <f t="array" ref="U179">IF(C179="",INDEX(C173:C179,MATCH(TRUE,INDEX((C173:C179&lt;&gt;""),0),0)),C179)</f>
        <v>BOS Champion</v>
      </c>
      <c r="V179" s="122">
        <f t="shared" si="17"/>
        <v>0.92860482513559006</v>
      </c>
      <c r="W179" s="122">
        <v>20000</v>
      </c>
      <c r="X179" s="122"/>
      <c r="Y179" s="122">
        <f t="shared" si="16"/>
        <v>19861</v>
      </c>
      <c r="Z179" s="123"/>
    </row>
    <row r="180" spans="1:26" ht="25" customHeight="1" outlineLevel="1" x14ac:dyDescent="0.35">
      <c r="B180" s="151"/>
      <c r="C180" s="151"/>
      <c r="D180" s="168"/>
      <c r="E180" s="3" t="s">
        <v>113</v>
      </c>
      <c r="F180" s="31" t="s">
        <v>32</v>
      </c>
      <c r="G180" s="35"/>
      <c r="H180" s="57" t="str">
        <f t="shared" si="18"/>
        <v/>
      </c>
      <c r="I180" s="57" t="str">
        <f t="shared" si="19"/>
        <v/>
      </c>
      <c r="J180" s="58" t="str">
        <f t="shared" si="20"/>
        <v/>
      </c>
      <c r="K180" s="151"/>
      <c r="L180" s="42"/>
      <c r="U180" s="121" t="str" cm="1">
        <f t="array" ref="U180">IF(C180="",INDEX(C174:C180,MATCH(TRUE,INDEX((C174:C180&lt;&gt;""),0),0)),C180)</f>
        <v>BOS Champion</v>
      </c>
      <c r="V180" s="122">
        <f t="shared" si="17"/>
        <v>0.92860482513559006</v>
      </c>
      <c r="W180" s="122">
        <v>20000</v>
      </c>
      <c r="X180" s="122"/>
      <c r="Y180" s="122">
        <f t="shared" si="16"/>
        <v>19861</v>
      </c>
      <c r="Z180" s="123"/>
    </row>
    <row r="181" spans="1:26" ht="25" customHeight="1" outlineLevel="1" x14ac:dyDescent="0.35">
      <c r="B181" s="151"/>
      <c r="C181" s="151"/>
      <c r="D181" s="168"/>
      <c r="E181" s="3" t="s">
        <v>112</v>
      </c>
      <c r="F181" s="31" t="s">
        <v>17</v>
      </c>
      <c r="G181" s="35">
        <v>42124</v>
      </c>
      <c r="H181" s="57">
        <f>2*IF(F181="Done", V181*VLOOKUP(E181, $AB$3:$AC$11, 2, FALSE), "")</f>
        <v>14857.677202169441</v>
      </c>
      <c r="I181" s="57">
        <f>2*IF(F181="Done", V181*VLOOKUP(E181, $AB$3:$AD$11, 3, FALSE), "")</f>
        <v>1857.2096502711802</v>
      </c>
      <c r="J181" s="58">
        <f>2*IF(F181="Done", V181*VLOOKUP(E181, $AB$3:$AE$11, 4, FALSE), "")</f>
        <v>74.288386010847205</v>
      </c>
      <c r="K181" s="151"/>
      <c r="L181" s="42" t="s">
        <v>280</v>
      </c>
      <c r="M181" s="8" t="s">
        <v>136</v>
      </c>
      <c r="U181" s="121" t="str" cm="1">
        <f t="array" ref="U181">IF(C181="",INDEX(C175:C181,MATCH(TRUE,INDEX((C175:C181&lt;&gt;""),0),0)),C181)</f>
        <v>BOS Champion</v>
      </c>
      <c r="V181" s="122">
        <f t="shared" si="17"/>
        <v>0.92860482513559006</v>
      </c>
      <c r="W181" s="122">
        <v>20000</v>
      </c>
      <c r="X181" s="122"/>
      <c r="Y181" s="122">
        <f t="shared" si="16"/>
        <v>19861</v>
      </c>
      <c r="Z181" s="123"/>
    </row>
    <row r="182" spans="1:26" ht="25" customHeight="1" outlineLevel="1" x14ac:dyDescent="0.35">
      <c r="B182" s="151"/>
      <c r="C182" s="151"/>
      <c r="D182" s="151"/>
      <c r="E182" s="3" t="s">
        <v>109</v>
      </c>
      <c r="F182" s="31" t="s">
        <v>17</v>
      </c>
      <c r="G182" s="35">
        <v>44439</v>
      </c>
      <c r="H182" s="57">
        <f t="shared" si="18"/>
        <v>7707.4200486253976</v>
      </c>
      <c r="I182" s="57">
        <f t="shared" si="19"/>
        <v>928.60482513559009</v>
      </c>
      <c r="J182" s="58">
        <f t="shared" si="20"/>
        <v>41.787217131101556</v>
      </c>
      <c r="K182" s="151"/>
      <c r="L182" s="42"/>
      <c r="U182" s="121" t="str" cm="1">
        <f t="array" ref="U182">IF(C182="",INDEX(C176:C182,MATCH(TRUE,INDEX((C176:C182&lt;&gt;""),0),0)),C182)</f>
        <v>BOS Champion</v>
      </c>
      <c r="V182" s="122">
        <f t="shared" si="17"/>
        <v>0.92860482513559006</v>
      </c>
      <c r="W182" s="122">
        <v>20000</v>
      </c>
      <c r="X182" s="122"/>
      <c r="Y182" s="122">
        <f t="shared" si="16"/>
        <v>19861</v>
      </c>
      <c r="Z182" s="123"/>
    </row>
    <row r="183" spans="1:26" ht="25" customHeight="1" outlineLevel="1" x14ac:dyDescent="0.35">
      <c r="B183" s="152"/>
      <c r="C183" s="152"/>
      <c r="D183" s="152"/>
      <c r="E183" s="4" t="s">
        <v>14</v>
      </c>
      <c r="F183" s="31" t="s">
        <v>17</v>
      </c>
      <c r="G183" s="39"/>
      <c r="H183" s="65">
        <f t="shared" si="18"/>
        <v>2321.512062838975</v>
      </c>
      <c r="I183" s="65">
        <f t="shared" si="19"/>
        <v>2971.5354404338882</v>
      </c>
      <c r="J183" s="66">
        <f t="shared" si="20"/>
        <v>10.214653076491491</v>
      </c>
      <c r="K183" s="152"/>
      <c r="L183" s="43"/>
      <c r="U183" s="121" t="str" cm="1">
        <f t="array" ref="U183">IF(C183="",INDEX(C177:C183,MATCH(TRUE,INDEX((C177:C183&lt;&gt;""),0),0)),C183)</f>
        <v>BOS Champion</v>
      </c>
      <c r="V183" s="122">
        <f t="shared" si="17"/>
        <v>0.92860482513559006</v>
      </c>
      <c r="W183" s="122">
        <v>20000</v>
      </c>
      <c r="X183" s="122"/>
      <c r="Y183" s="122">
        <f t="shared" si="16"/>
        <v>19861</v>
      </c>
      <c r="Z183" s="123"/>
    </row>
    <row r="184" spans="1:26" ht="30" customHeight="1" x14ac:dyDescent="0.35">
      <c r="A184" s="8" t="s">
        <v>136</v>
      </c>
      <c r="B184" s="153">
        <v>32</v>
      </c>
      <c r="C184" s="153" t="s">
        <v>54</v>
      </c>
      <c r="D184" s="153" t="s">
        <v>55</v>
      </c>
      <c r="E184" s="27" t="s">
        <v>105</v>
      </c>
      <c r="F184" s="32"/>
      <c r="G184" s="37"/>
      <c r="H184" s="61" t="str">
        <f t="shared" si="18"/>
        <v/>
      </c>
      <c r="I184" s="61" t="str">
        <f t="shared" si="19"/>
        <v/>
      </c>
      <c r="J184" s="62" t="str">
        <f t="shared" si="20"/>
        <v/>
      </c>
      <c r="K184" s="6"/>
      <c r="L184" s="44"/>
      <c r="U184" s="121" t="str" cm="1">
        <f t="array" ref="U184">IF(C184="",INDEX(C178:C184,MATCH(TRUE,INDEX((C178:C184&lt;&gt;""),0),0)),C184)</f>
        <v>BOS Aphrodite</v>
      </c>
      <c r="V184" s="122">
        <f t="shared" si="17"/>
        <v>0.73573966710304839</v>
      </c>
      <c r="W184" s="122">
        <v>18000</v>
      </c>
      <c r="X184" s="122"/>
      <c r="Y184" s="122">
        <f t="shared" si="16"/>
        <v>15736</v>
      </c>
      <c r="Z184" s="123"/>
    </row>
    <row r="185" spans="1:26" ht="25" customHeight="1" outlineLevel="1" x14ac:dyDescent="0.35">
      <c r="B185" s="154"/>
      <c r="C185" s="154"/>
      <c r="D185" s="154"/>
      <c r="E185" s="6" t="s">
        <v>13</v>
      </c>
      <c r="F185" s="32" t="s">
        <v>17</v>
      </c>
      <c r="G185" s="37"/>
      <c r="H185" s="61">
        <f t="shared" si="18"/>
        <v>8093.1363381335323</v>
      </c>
      <c r="I185" s="61">
        <f t="shared" si="19"/>
        <v>2354.366934729755</v>
      </c>
      <c r="J185" s="62">
        <f t="shared" si="20"/>
        <v>47.087338694595097</v>
      </c>
      <c r="K185" s="6"/>
      <c r="L185" s="45"/>
      <c r="U185" s="121" t="str" cm="1">
        <f t="array" ref="U185">IF(C185="",INDEX(C179:C185,MATCH(TRUE,INDEX((C179:C185&lt;&gt;""),0),0)),C185)</f>
        <v>BOS Aphrodite</v>
      </c>
      <c r="V185" s="122">
        <f t="shared" si="17"/>
        <v>0.73573966710304839</v>
      </c>
      <c r="W185" s="122">
        <v>18000</v>
      </c>
      <c r="X185" s="122"/>
      <c r="Y185" s="122">
        <f t="shared" si="16"/>
        <v>15736</v>
      </c>
      <c r="Z185" s="123"/>
    </row>
    <row r="186" spans="1:26" ht="25" customHeight="1" outlineLevel="1" x14ac:dyDescent="0.35">
      <c r="B186" s="154"/>
      <c r="C186" s="154"/>
      <c r="D186" s="154"/>
      <c r="E186" s="6" t="s">
        <v>113</v>
      </c>
      <c r="F186" s="32" t="s">
        <v>21</v>
      </c>
      <c r="G186" s="37"/>
      <c r="H186" s="61" t="str">
        <f t="shared" si="18"/>
        <v/>
      </c>
      <c r="I186" s="61" t="str">
        <f t="shared" si="19"/>
        <v/>
      </c>
      <c r="J186" s="62" t="str">
        <f t="shared" si="20"/>
        <v/>
      </c>
      <c r="K186" s="6"/>
      <c r="L186" s="45"/>
      <c r="U186" s="121" t="str" cm="1">
        <f t="array" ref="U186">IF(C186="",INDEX(C180:C186,MATCH(TRUE,INDEX((C180:C186&lt;&gt;""),0),0)),C186)</f>
        <v>BOS Aphrodite</v>
      </c>
      <c r="V186" s="122">
        <f t="shared" si="17"/>
        <v>0.73573966710304839</v>
      </c>
      <c r="W186" s="122">
        <v>18000</v>
      </c>
      <c r="X186" s="122"/>
      <c r="Y186" s="122">
        <f t="shared" si="16"/>
        <v>15736</v>
      </c>
      <c r="Z186" s="123"/>
    </row>
    <row r="187" spans="1:26" ht="25" customHeight="1" outlineLevel="1" x14ac:dyDescent="0.35">
      <c r="B187" s="154"/>
      <c r="C187" s="154"/>
      <c r="D187" s="154"/>
      <c r="E187" s="6" t="s">
        <v>112</v>
      </c>
      <c r="F187" s="32" t="s">
        <v>21</v>
      </c>
      <c r="G187" s="37"/>
      <c r="H187" s="61" t="str">
        <f t="shared" si="18"/>
        <v/>
      </c>
      <c r="I187" s="61" t="str">
        <f t="shared" si="19"/>
        <v/>
      </c>
      <c r="J187" s="62" t="str">
        <f t="shared" si="20"/>
        <v/>
      </c>
      <c r="K187" s="6"/>
      <c r="L187" s="45"/>
      <c r="U187" s="121" t="str" cm="1">
        <f t="array" ref="U187">IF(C187="",INDEX(C181:C187,MATCH(TRUE,INDEX((C181:C187&lt;&gt;""),0),0)),C187)</f>
        <v>BOS Aphrodite</v>
      </c>
      <c r="V187" s="122">
        <f t="shared" si="17"/>
        <v>0.73573966710304839</v>
      </c>
      <c r="W187" s="122">
        <v>18000</v>
      </c>
      <c r="X187" s="122"/>
      <c r="Y187" s="122">
        <f t="shared" si="16"/>
        <v>15736</v>
      </c>
      <c r="Z187" s="123"/>
    </row>
    <row r="188" spans="1:26" ht="25" customHeight="1" outlineLevel="1" x14ac:dyDescent="0.35">
      <c r="B188" s="154"/>
      <c r="C188" s="154"/>
      <c r="D188" s="154"/>
      <c r="E188" s="6" t="s">
        <v>109</v>
      </c>
      <c r="F188" s="32" t="s">
        <v>21</v>
      </c>
      <c r="G188" s="37"/>
      <c r="H188" s="61" t="str">
        <f t="shared" si="18"/>
        <v/>
      </c>
      <c r="I188" s="61" t="str">
        <f t="shared" si="19"/>
        <v/>
      </c>
      <c r="J188" s="62" t="str">
        <f t="shared" si="20"/>
        <v/>
      </c>
      <c r="K188" s="6"/>
      <c r="L188" s="45"/>
      <c r="U188" s="121" t="str" cm="1">
        <f t="array" ref="U188">IF(C188="",INDEX(C182:C188,MATCH(TRUE,INDEX((C182:C188&lt;&gt;""),0),0)),C188)</f>
        <v>BOS Aphrodite</v>
      </c>
      <c r="V188" s="122">
        <f t="shared" si="17"/>
        <v>0.73573966710304839</v>
      </c>
      <c r="W188" s="122">
        <v>18000</v>
      </c>
      <c r="X188" s="122"/>
      <c r="Y188" s="122">
        <f t="shared" si="16"/>
        <v>15736</v>
      </c>
      <c r="Z188" s="123"/>
    </row>
    <row r="189" spans="1:26" ht="25" customHeight="1" outlineLevel="1" x14ac:dyDescent="0.35">
      <c r="B189" s="155"/>
      <c r="C189" s="155"/>
      <c r="D189" s="155"/>
      <c r="E189" s="7" t="s">
        <v>14</v>
      </c>
      <c r="F189" s="32" t="s">
        <v>21</v>
      </c>
      <c r="G189" s="37"/>
      <c r="H189" s="61" t="str">
        <f t="shared" si="18"/>
        <v/>
      </c>
      <c r="I189" s="61" t="str">
        <f t="shared" si="19"/>
        <v/>
      </c>
      <c r="J189" s="62" t="str">
        <f t="shared" si="20"/>
        <v/>
      </c>
      <c r="K189" s="6"/>
      <c r="L189" s="46"/>
      <c r="U189" s="121" t="str" cm="1">
        <f t="array" ref="U189">IF(C189="",INDEX(C183:C189,MATCH(TRUE,INDEX((C183:C189&lt;&gt;""),0),0)),C189)</f>
        <v>BOS Aphrodite</v>
      </c>
      <c r="V189" s="122">
        <f t="shared" si="17"/>
        <v>0.73573966710304839</v>
      </c>
      <c r="W189" s="122">
        <v>18000</v>
      </c>
      <c r="X189" s="122"/>
      <c r="Y189" s="122">
        <f t="shared" si="16"/>
        <v>15736</v>
      </c>
      <c r="Z189" s="123"/>
    </row>
    <row r="190" spans="1:26" ht="30" customHeight="1" x14ac:dyDescent="0.35">
      <c r="A190" s="8" t="s">
        <v>136</v>
      </c>
      <c r="B190" s="150">
        <v>33</v>
      </c>
      <c r="C190" s="150" t="s">
        <v>56</v>
      </c>
      <c r="D190" s="150" t="s">
        <v>166</v>
      </c>
      <c r="E190" s="26" t="s">
        <v>105</v>
      </c>
      <c r="F190" s="31"/>
      <c r="G190" s="34"/>
      <c r="H190" s="55" t="str">
        <f t="shared" si="18"/>
        <v/>
      </c>
      <c r="I190" s="55" t="str">
        <f t="shared" si="19"/>
        <v/>
      </c>
      <c r="J190" s="56" t="str">
        <f t="shared" si="20"/>
        <v/>
      </c>
      <c r="K190" s="169" t="s">
        <v>167</v>
      </c>
      <c r="L190" s="41"/>
      <c r="U190" s="121" t="str" cm="1">
        <f t="array" ref="U190">IF(C190="",INDEX(C184:C190,MATCH(TRUE,INDEX((C184:C190&lt;&gt;""),0),0)),C190)</f>
        <v>BOS Apollo</v>
      </c>
      <c r="V190" s="122">
        <f t="shared" si="17"/>
        <v>0.73573966710304839</v>
      </c>
      <c r="W190" s="122">
        <v>18000</v>
      </c>
      <c r="X190" s="122"/>
      <c r="Y190" s="122">
        <f t="shared" si="16"/>
        <v>15736</v>
      </c>
      <c r="Z190" s="123"/>
    </row>
    <row r="191" spans="1:26" ht="25" customHeight="1" outlineLevel="1" x14ac:dyDescent="0.35">
      <c r="B191" s="151"/>
      <c r="C191" s="151"/>
      <c r="D191" s="151"/>
      <c r="E191" s="3" t="s">
        <v>13</v>
      </c>
      <c r="F191" s="31" t="s">
        <v>17</v>
      </c>
      <c r="G191" s="35">
        <v>40801</v>
      </c>
      <c r="H191" s="57">
        <f t="shared" si="18"/>
        <v>8093.1363381335323</v>
      </c>
      <c r="I191" s="57">
        <f t="shared" si="19"/>
        <v>2354.366934729755</v>
      </c>
      <c r="J191" s="58">
        <f t="shared" si="20"/>
        <v>47.087338694595097</v>
      </c>
      <c r="K191" s="151"/>
      <c r="L191" s="42"/>
      <c r="U191" s="121" t="str" cm="1">
        <f t="array" ref="U191">IF(C191="",INDEX(C185:C191,MATCH(TRUE,INDEX((C185:C191&lt;&gt;""),0),0)),C191)</f>
        <v>BOS Apollo</v>
      </c>
      <c r="V191" s="122">
        <f t="shared" si="17"/>
        <v>0.73573966710304839</v>
      </c>
      <c r="W191" s="122">
        <v>18000</v>
      </c>
      <c r="X191" s="122"/>
      <c r="Y191" s="122">
        <f t="shared" si="16"/>
        <v>15736</v>
      </c>
      <c r="Z191" s="123"/>
    </row>
    <row r="192" spans="1:26" ht="25" customHeight="1" outlineLevel="1" x14ac:dyDescent="0.35">
      <c r="B192" s="151"/>
      <c r="C192" s="151"/>
      <c r="D192" s="151"/>
      <c r="E192" s="3" t="s">
        <v>113</v>
      </c>
      <c r="F192" s="31" t="s">
        <v>21</v>
      </c>
      <c r="G192" s="35"/>
      <c r="H192" s="57" t="str">
        <f t="shared" si="18"/>
        <v/>
      </c>
      <c r="I192" s="57" t="str">
        <f t="shared" si="19"/>
        <v/>
      </c>
      <c r="J192" s="58" t="str">
        <f t="shared" si="20"/>
        <v/>
      </c>
      <c r="K192" s="151"/>
      <c r="L192" s="42"/>
      <c r="U192" s="121" t="str" cm="1">
        <f t="array" ref="U192">IF(C192="",INDEX(C186:C192,MATCH(TRUE,INDEX((C186:C192&lt;&gt;""),0),0)),C192)</f>
        <v>BOS Apollo</v>
      </c>
      <c r="V192" s="122">
        <f t="shared" si="17"/>
        <v>0.73573966710304839</v>
      </c>
      <c r="W192" s="122">
        <v>18000</v>
      </c>
      <c r="X192" s="122"/>
      <c r="Y192" s="122">
        <f t="shared" si="16"/>
        <v>15736</v>
      </c>
      <c r="Z192" s="123"/>
    </row>
    <row r="193" spans="1:26" ht="25" customHeight="1" outlineLevel="1" x14ac:dyDescent="0.35">
      <c r="B193" s="151"/>
      <c r="C193" s="151"/>
      <c r="D193" s="151"/>
      <c r="E193" s="3" t="s">
        <v>112</v>
      </c>
      <c r="F193" s="31" t="s">
        <v>21</v>
      </c>
      <c r="G193" s="35">
        <v>40801</v>
      </c>
      <c r="H193" s="57" t="str">
        <f t="shared" si="18"/>
        <v/>
      </c>
      <c r="I193" s="57" t="str">
        <f t="shared" si="19"/>
        <v/>
      </c>
      <c r="J193" s="58" t="str">
        <f t="shared" si="20"/>
        <v/>
      </c>
      <c r="K193" s="151"/>
      <c r="L193" s="42"/>
      <c r="U193" s="121" t="str" cm="1">
        <f t="array" ref="U193">IF(C193="",INDEX(C187:C193,MATCH(TRUE,INDEX((C187:C193&lt;&gt;""),0),0)),C193)</f>
        <v>BOS Apollo</v>
      </c>
      <c r="V193" s="122">
        <f t="shared" si="17"/>
        <v>0.73573966710304839</v>
      </c>
      <c r="W193" s="122">
        <v>18000</v>
      </c>
      <c r="X193" s="122"/>
      <c r="Y193" s="122">
        <f t="shared" si="16"/>
        <v>15736</v>
      </c>
      <c r="Z193" s="123"/>
    </row>
    <row r="194" spans="1:26" ht="25" customHeight="1" outlineLevel="1" x14ac:dyDescent="0.35">
      <c r="B194" s="151"/>
      <c r="C194" s="151"/>
      <c r="D194" s="151"/>
      <c r="E194" s="3" t="s">
        <v>109</v>
      </c>
      <c r="F194" s="31" t="s">
        <v>17</v>
      </c>
      <c r="G194" s="35">
        <v>45047</v>
      </c>
      <c r="H194" s="57">
        <f t="shared" si="18"/>
        <v>6106.6392369553014</v>
      </c>
      <c r="I194" s="57">
        <f t="shared" si="19"/>
        <v>735.73966710304842</v>
      </c>
      <c r="J194" s="58">
        <f t="shared" si="20"/>
        <v>33.108285019637179</v>
      </c>
      <c r="K194" s="151"/>
      <c r="L194" s="42"/>
      <c r="U194" s="121" t="str" cm="1">
        <f t="array" ref="U194">IF(C194="",INDEX(C188:C194,MATCH(TRUE,INDEX((C188:C194&lt;&gt;""),0),0)),C194)</f>
        <v>BOS Apollo</v>
      </c>
      <c r="V194" s="122">
        <f t="shared" si="17"/>
        <v>0.73573966710304839</v>
      </c>
      <c r="W194" s="122">
        <v>18000</v>
      </c>
      <c r="X194" s="122"/>
      <c r="Y194" s="122">
        <f t="shared" si="16"/>
        <v>15736</v>
      </c>
      <c r="Z194" s="123"/>
    </row>
    <row r="195" spans="1:26" ht="25" customHeight="1" outlineLevel="1" x14ac:dyDescent="0.35">
      <c r="B195" s="152"/>
      <c r="C195" s="152"/>
      <c r="D195" s="152"/>
      <c r="E195" s="4" t="s">
        <v>14</v>
      </c>
      <c r="F195" s="31" t="s">
        <v>21</v>
      </c>
      <c r="G195" s="39"/>
      <c r="H195" s="65" t="str">
        <f t="shared" si="18"/>
        <v/>
      </c>
      <c r="I195" s="65" t="str">
        <f t="shared" si="19"/>
        <v/>
      </c>
      <c r="J195" s="66" t="str">
        <f t="shared" si="20"/>
        <v/>
      </c>
      <c r="K195" s="152"/>
      <c r="L195" s="43"/>
      <c r="U195" s="121" t="str" cm="1">
        <f t="array" ref="U195">IF(C195="",INDEX(C189:C195,MATCH(TRUE,INDEX((C189:C195&lt;&gt;""),0),0)),C195)</f>
        <v>BOS Apollo</v>
      </c>
      <c r="V195" s="122">
        <f t="shared" si="17"/>
        <v>0.73573966710304839</v>
      </c>
      <c r="W195" s="122">
        <v>18000</v>
      </c>
      <c r="X195" s="122"/>
      <c r="Y195" s="122">
        <f t="shared" si="16"/>
        <v>15736</v>
      </c>
      <c r="Z195" s="123"/>
    </row>
    <row r="196" spans="1:26" ht="30" customHeight="1" x14ac:dyDescent="0.35">
      <c r="A196" s="8" t="s">
        <v>136</v>
      </c>
      <c r="B196" s="153">
        <v>34</v>
      </c>
      <c r="C196" s="153" t="s">
        <v>57</v>
      </c>
      <c r="D196" s="153" t="s">
        <v>55</v>
      </c>
      <c r="E196" s="27" t="s">
        <v>105</v>
      </c>
      <c r="F196" s="32"/>
      <c r="G196" s="37"/>
      <c r="H196" s="61" t="str">
        <f t="shared" si="18"/>
        <v/>
      </c>
      <c r="I196" s="61" t="str">
        <f t="shared" si="19"/>
        <v/>
      </c>
      <c r="J196" s="62" t="str">
        <f t="shared" si="20"/>
        <v/>
      </c>
      <c r="K196" s="6"/>
      <c r="L196" s="44"/>
      <c r="U196" s="121" t="str" cm="1">
        <f t="array" ref="U196">IF(C196="",INDEX(C190:C196,MATCH(TRUE,INDEX((C190:C196&lt;&gt;""),0),0)),C196)</f>
        <v>BOS Athos</v>
      </c>
      <c r="V196" s="122">
        <f t="shared" si="17"/>
        <v>0.73573966710304839</v>
      </c>
      <c r="W196" s="122">
        <v>18000</v>
      </c>
      <c r="X196" s="122"/>
      <c r="Y196" s="122">
        <f t="shared" si="16"/>
        <v>15736</v>
      </c>
      <c r="Z196" s="123"/>
    </row>
    <row r="197" spans="1:26" ht="25" customHeight="1" outlineLevel="1" x14ac:dyDescent="0.35">
      <c r="B197" s="154"/>
      <c r="C197" s="154"/>
      <c r="D197" s="154"/>
      <c r="E197" s="6" t="s">
        <v>13</v>
      </c>
      <c r="F197" s="32" t="s">
        <v>21</v>
      </c>
      <c r="G197" s="37"/>
      <c r="H197" s="61" t="str">
        <f t="shared" si="18"/>
        <v/>
      </c>
      <c r="I197" s="61" t="str">
        <f t="shared" si="19"/>
        <v/>
      </c>
      <c r="J197" s="62" t="str">
        <f t="shared" si="20"/>
        <v/>
      </c>
      <c r="K197" s="6"/>
      <c r="L197" s="45"/>
      <c r="U197" s="121" t="str" cm="1">
        <f t="array" ref="U197">IF(C197="",INDEX(C191:C197,MATCH(TRUE,INDEX((C191:C197&lt;&gt;""),0),0)),C197)</f>
        <v>BOS Athos</v>
      </c>
      <c r="V197" s="122">
        <f t="shared" si="17"/>
        <v>0.73573966710304839</v>
      </c>
      <c r="W197" s="122">
        <v>18000</v>
      </c>
      <c r="X197" s="122"/>
      <c r="Y197" s="122">
        <f t="shared" si="16"/>
        <v>15736</v>
      </c>
      <c r="Z197" s="123"/>
    </row>
    <row r="198" spans="1:26" ht="25" customHeight="1" outlineLevel="1" x14ac:dyDescent="0.35">
      <c r="B198" s="154"/>
      <c r="C198" s="154"/>
      <c r="D198" s="154"/>
      <c r="E198" s="6" t="s">
        <v>113</v>
      </c>
      <c r="F198" s="32" t="s">
        <v>21</v>
      </c>
      <c r="G198" s="37"/>
      <c r="H198" s="61" t="str">
        <f t="shared" si="18"/>
        <v/>
      </c>
      <c r="I198" s="61" t="str">
        <f t="shared" si="19"/>
        <v/>
      </c>
      <c r="J198" s="62" t="str">
        <f t="shared" si="20"/>
        <v/>
      </c>
      <c r="K198" s="6"/>
      <c r="L198" s="45"/>
      <c r="U198" s="121" t="str" cm="1">
        <f t="array" ref="U198">IF(C198="",INDEX(C192:C198,MATCH(TRUE,INDEX((C192:C198&lt;&gt;""),0),0)),C198)</f>
        <v>BOS Athos</v>
      </c>
      <c r="V198" s="122">
        <f t="shared" si="17"/>
        <v>0.73573966710304839</v>
      </c>
      <c r="W198" s="122">
        <v>18000</v>
      </c>
      <c r="X198" s="122"/>
      <c r="Y198" s="122">
        <f t="shared" si="16"/>
        <v>15736</v>
      </c>
      <c r="Z198" s="123"/>
    </row>
    <row r="199" spans="1:26" ht="25" customHeight="1" outlineLevel="1" x14ac:dyDescent="0.35">
      <c r="B199" s="154"/>
      <c r="C199" s="154"/>
      <c r="D199" s="154"/>
      <c r="E199" s="6" t="s">
        <v>112</v>
      </c>
      <c r="F199" s="32" t="s">
        <v>21</v>
      </c>
      <c r="G199" s="37"/>
      <c r="H199" s="61" t="str">
        <f t="shared" si="18"/>
        <v/>
      </c>
      <c r="I199" s="61" t="str">
        <f t="shared" si="19"/>
        <v/>
      </c>
      <c r="J199" s="62" t="str">
        <f t="shared" si="20"/>
        <v/>
      </c>
      <c r="K199" s="6"/>
      <c r="L199" s="45"/>
      <c r="U199" s="121" t="str" cm="1">
        <f t="array" ref="U199">IF(C199="",INDEX(C193:C199,MATCH(TRUE,INDEX((C193:C199&lt;&gt;""),0),0)),C199)</f>
        <v>BOS Athos</v>
      </c>
      <c r="V199" s="122">
        <f t="shared" si="17"/>
        <v>0.73573966710304839</v>
      </c>
      <c r="W199" s="122">
        <v>18000</v>
      </c>
      <c r="X199" s="122"/>
      <c r="Y199" s="122">
        <f t="shared" si="16"/>
        <v>15736</v>
      </c>
      <c r="Z199" s="123"/>
    </row>
    <row r="200" spans="1:26" ht="25" customHeight="1" outlineLevel="1" x14ac:dyDescent="0.35">
      <c r="B200" s="154"/>
      <c r="C200" s="154"/>
      <c r="D200" s="154"/>
      <c r="E200" s="6" t="s">
        <v>109</v>
      </c>
      <c r="F200" s="32" t="s">
        <v>21</v>
      </c>
      <c r="G200" s="37"/>
      <c r="H200" s="61" t="str">
        <f t="shared" si="18"/>
        <v/>
      </c>
      <c r="I200" s="61" t="str">
        <f t="shared" si="19"/>
        <v/>
      </c>
      <c r="J200" s="62" t="str">
        <f t="shared" si="20"/>
        <v/>
      </c>
      <c r="K200" s="6"/>
      <c r="L200" s="45"/>
      <c r="U200" s="121" t="str" cm="1">
        <f t="array" ref="U200">IF(C200="",INDEX(C194:C200,MATCH(TRUE,INDEX((C194:C200&lt;&gt;""),0),0)),C200)</f>
        <v>BOS Athos</v>
      </c>
      <c r="V200" s="122">
        <f t="shared" si="17"/>
        <v>0.73573966710304839</v>
      </c>
      <c r="W200" s="122">
        <v>18000</v>
      </c>
      <c r="X200" s="122"/>
      <c r="Y200" s="122">
        <f t="shared" si="16"/>
        <v>15736</v>
      </c>
      <c r="Z200" s="123"/>
    </row>
    <row r="201" spans="1:26" ht="25" customHeight="1" outlineLevel="1" x14ac:dyDescent="0.35">
      <c r="B201" s="155"/>
      <c r="C201" s="155"/>
      <c r="D201" s="155"/>
      <c r="E201" s="7" t="s">
        <v>14</v>
      </c>
      <c r="F201" s="32" t="s">
        <v>21</v>
      </c>
      <c r="G201" s="37"/>
      <c r="H201" s="61" t="str">
        <f t="shared" si="18"/>
        <v/>
      </c>
      <c r="I201" s="61" t="str">
        <f t="shared" si="19"/>
        <v/>
      </c>
      <c r="J201" s="62" t="str">
        <f t="shared" si="20"/>
        <v/>
      </c>
      <c r="K201" s="6"/>
      <c r="L201" s="46"/>
      <c r="U201" s="121" t="str" cm="1">
        <f t="array" ref="U201">IF(C201="",INDEX(C195:C201,MATCH(TRUE,INDEX((C195:C201&lt;&gt;""),0),0)),C201)</f>
        <v>BOS Athos</v>
      </c>
      <c r="V201" s="122">
        <f t="shared" si="17"/>
        <v>0.73573966710304839</v>
      </c>
      <c r="W201" s="122">
        <v>18000</v>
      </c>
      <c r="X201" s="122"/>
      <c r="Y201" s="122">
        <f t="shared" si="16"/>
        <v>15736</v>
      </c>
      <c r="Z201" s="123"/>
    </row>
    <row r="202" spans="1:26" ht="30" customHeight="1" x14ac:dyDescent="0.35">
      <c r="A202" s="8" t="s">
        <v>136</v>
      </c>
      <c r="B202" s="150">
        <v>35</v>
      </c>
      <c r="C202" s="150" t="s">
        <v>58</v>
      </c>
      <c r="D202" s="150" t="s">
        <v>59</v>
      </c>
      <c r="E202" s="26" t="s">
        <v>105</v>
      </c>
      <c r="F202" s="31"/>
      <c r="G202" s="34"/>
      <c r="H202" s="55" t="str">
        <f t="shared" si="18"/>
        <v/>
      </c>
      <c r="I202" s="55" t="str">
        <f t="shared" si="19"/>
        <v/>
      </c>
      <c r="J202" s="56" t="str">
        <f t="shared" si="20"/>
        <v/>
      </c>
      <c r="K202" s="2"/>
      <c r="L202" s="41"/>
      <c r="U202" s="121" t="str" cm="1">
        <f t="array" ref="U202">IF(C202="",INDEX(C196:C202,MATCH(TRUE,INDEX((C196:C202&lt;&gt;""),0),0)),C202)</f>
        <v>BOS Chablis</v>
      </c>
      <c r="V202" s="122">
        <f t="shared" si="17"/>
        <v>0.92860482513559006</v>
      </c>
      <c r="W202" s="122">
        <v>20000</v>
      </c>
      <c r="X202" s="122"/>
      <c r="Y202" s="122">
        <f t="shared" ref="Y202:Y266" si="21">INT(VLOOKUP(U202, $AB$30:$AH$98, 7, FALSE))</f>
        <v>19861</v>
      </c>
      <c r="Z202" s="123"/>
    </row>
    <row r="203" spans="1:26" ht="25" customHeight="1" outlineLevel="1" x14ac:dyDescent="0.35">
      <c r="B203" s="151"/>
      <c r="C203" s="151"/>
      <c r="D203" s="151"/>
      <c r="E203" s="3" t="s">
        <v>13</v>
      </c>
      <c r="F203" s="31" t="s">
        <v>17</v>
      </c>
      <c r="G203" s="35"/>
      <c r="H203" s="57">
        <f t="shared" si="18"/>
        <v>10214.653076491491</v>
      </c>
      <c r="I203" s="57">
        <f t="shared" si="19"/>
        <v>2971.5354404338882</v>
      </c>
      <c r="J203" s="58">
        <f t="shared" si="20"/>
        <v>59.430708808677764</v>
      </c>
      <c r="K203" s="3"/>
      <c r="L203" s="42"/>
      <c r="U203" s="121" t="str" cm="1">
        <f t="array" ref="U203">IF(C203="",INDEX(C197:C203,MATCH(TRUE,INDEX((C197:C203&lt;&gt;""),0),0)),C203)</f>
        <v>BOS Chablis</v>
      </c>
      <c r="V203" s="122">
        <f t="shared" ref="V203:V267" si="22">MIN(Y203/21388,1.3)</f>
        <v>0.92860482513559006</v>
      </c>
      <c r="W203" s="122">
        <v>20000</v>
      </c>
      <c r="X203" s="122"/>
      <c r="Y203" s="122">
        <f t="shared" si="21"/>
        <v>19861</v>
      </c>
      <c r="Z203" s="123"/>
    </row>
    <row r="204" spans="1:26" ht="25" customHeight="1" outlineLevel="1" x14ac:dyDescent="0.35">
      <c r="B204" s="151"/>
      <c r="C204" s="151"/>
      <c r="D204" s="151"/>
      <c r="E204" s="3" t="s">
        <v>112</v>
      </c>
      <c r="F204" s="31" t="s">
        <v>21</v>
      </c>
      <c r="G204" s="35"/>
      <c r="H204" s="57" t="str">
        <f t="shared" si="18"/>
        <v/>
      </c>
      <c r="I204" s="57" t="str">
        <f t="shared" si="19"/>
        <v/>
      </c>
      <c r="J204" s="58" t="str">
        <f t="shared" si="20"/>
        <v/>
      </c>
      <c r="K204" s="3"/>
      <c r="L204" s="42"/>
      <c r="U204" s="121" t="str" cm="1">
        <f t="array" ref="U204">IF(C204="",INDEX(C198:C204,MATCH(TRUE,INDEX((C198:C204&lt;&gt;""),0),0)),C204)</f>
        <v>BOS Chablis</v>
      </c>
      <c r="V204" s="122">
        <f t="shared" si="22"/>
        <v>0.92860482513559006</v>
      </c>
      <c r="W204" s="122">
        <v>20000</v>
      </c>
      <c r="X204" s="122"/>
      <c r="Y204" s="122">
        <f t="shared" si="21"/>
        <v>19861</v>
      </c>
      <c r="Z204" s="123"/>
    </row>
    <row r="205" spans="1:26" ht="25" customHeight="1" outlineLevel="1" x14ac:dyDescent="0.35">
      <c r="B205" s="151"/>
      <c r="C205" s="151"/>
      <c r="D205" s="151"/>
      <c r="E205" s="3" t="s">
        <v>113</v>
      </c>
      <c r="F205" s="31" t="s">
        <v>21</v>
      </c>
      <c r="G205" s="35"/>
      <c r="H205" s="57" t="str">
        <f t="shared" si="18"/>
        <v/>
      </c>
      <c r="I205" s="57" t="str">
        <f t="shared" si="19"/>
        <v/>
      </c>
      <c r="J205" s="58" t="str">
        <f t="shared" si="20"/>
        <v/>
      </c>
      <c r="K205" s="3"/>
      <c r="L205" s="42"/>
      <c r="U205" s="121" t="str" cm="1">
        <f t="array" ref="U205">IF(C205="",INDEX(C199:C205,MATCH(TRUE,INDEX((C199:C205&lt;&gt;""),0),0)),C205)</f>
        <v>BOS Chablis</v>
      </c>
      <c r="V205" s="122">
        <f t="shared" si="22"/>
        <v>0.92860482513559006</v>
      </c>
      <c r="W205" s="122">
        <v>20000</v>
      </c>
      <c r="X205" s="122"/>
      <c r="Y205" s="122">
        <f t="shared" si="21"/>
        <v>19861</v>
      </c>
      <c r="Z205" s="123"/>
    </row>
    <row r="206" spans="1:26" ht="25" customHeight="1" outlineLevel="1" x14ac:dyDescent="0.35">
      <c r="B206" s="151"/>
      <c r="C206" s="151"/>
      <c r="D206" s="151"/>
      <c r="E206" s="3" t="s">
        <v>109</v>
      </c>
      <c r="F206" s="31" t="s">
        <v>21</v>
      </c>
      <c r="G206" s="35"/>
      <c r="H206" s="57" t="str">
        <f t="shared" si="18"/>
        <v/>
      </c>
      <c r="I206" s="57" t="str">
        <f t="shared" si="19"/>
        <v/>
      </c>
      <c r="J206" s="58" t="str">
        <f t="shared" si="20"/>
        <v/>
      </c>
      <c r="K206" s="3"/>
      <c r="L206" s="42" t="s">
        <v>275</v>
      </c>
      <c r="U206" s="121" t="str" cm="1">
        <f t="array" ref="U206">IF(C206="",INDEX(C200:C206,MATCH(TRUE,INDEX((C200:C206&lt;&gt;""),0),0)),C206)</f>
        <v>BOS Chablis</v>
      </c>
      <c r="V206" s="122">
        <f t="shared" si="22"/>
        <v>0.92860482513559006</v>
      </c>
      <c r="W206" s="122">
        <v>20000</v>
      </c>
      <c r="X206" s="122"/>
      <c r="Y206" s="122">
        <f t="shared" si="21"/>
        <v>19861</v>
      </c>
      <c r="Z206" s="123"/>
    </row>
    <row r="207" spans="1:26" ht="25" customHeight="1" outlineLevel="1" x14ac:dyDescent="0.35">
      <c r="B207" s="152"/>
      <c r="C207" s="152"/>
      <c r="D207" s="152"/>
      <c r="E207" s="4" t="s">
        <v>14</v>
      </c>
      <c r="F207" s="31" t="s">
        <v>17</v>
      </c>
      <c r="G207" s="39"/>
      <c r="H207" s="65">
        <f t="shared" si="18"/>
        <v>2321.512062838975</v>
      </c>
      <c r="I207" s="65">
        <f t="shared" si="19"/>
        <v>2971.5354404338882</v>
      </c>
      <c r="J207" s="66">
        <f t="shared" si="20"/>
        <v>10.214653076491491</v>
      </c>
      <c r="K207" s="4"/>
      <c r="L207" s="43"/>
      <c r="U207" s="121" t="str" cm="1">
        <f t="array" ref="U207">IF(C207="",INDEX(C201:C207,MATCH(TRUE,INDEX((C201:C207&lt;&gt;""),0),0)),C207)</f>
        <v>BOS Chablis</v>
      </c>
      <c r="V207" s="122">
        <f t="shared" si="22"/>
        <v>0.92860482513559006</v>
      </c>
      <c r="W207" s="122">
        <v>20000</v>
      </c>
      <c r="X207" s="122"/>
      <c r="Y207" s="122">
        <f t="shared" si="21"/>
        <v>19861</v>
      </c>
      <c r="Z207" s="123"/>
    </row>
    <row r="208" spans="1:26" ht="30" customHeight="1" x14ac:dyDescent="0.35">
      <c r="A208" s="8" t="s">
        <v>136</v>
      </c>
      <c r="B208" s="153">
        <v>36</v>
      </c>
      <c r="C208" s="153" t="s">
        <v>60</v>
      </c>
      <c r="D208" s="153" t="s">
        <v>59</v>
      </c>
      <c r="E208" s="27" t="s">
        <v>105</v>
      </c>
      <c r="F208" s="32"/>
      <c r="G208" s="37"/>
      <c r="H208" s="61" t="str">
        <f t="shared" si="18"/>
        <v/>
      </c>
      <c r="I208" s="61" t="str">
        <f t="shared" si="19"/>
        <v/>
      </c>
      <c r="J208" s="62" t="str">
        <f t="shared" si="20"/>
        <v/>
      </c>
      <c r="K208" s="6"/>
      <c r="L208" s="44"/>
      <c r="U208" s="121" t="str" cm="1">
        <f t="array" ref="U208">IF(C208="",INDEX(C202:C208,MATCH(TRUE,INDEX((C202:C208&lt;&gt;""),0),0)),C208)</f>
        <v>BOS Champagne</v>
      </c>
      <c r="V208" s="122">
        <f t="shared" si="22"/>
        <v>0.92860482513559006</v>
      </c>
      <c r="W208" s="122">
        <v>20000</v>
      </c>
      <c r="X208" s="122"/>
      <c r="Y208" s="122">
        <f t="shared" si="21"/>
        <v>19861</v>
      </c>
      <c r="Z208" s="123"/>
    </row>
    <row r="209" spans="1:26" ht="25" customHeight="1" outlineLevel="1" x14ac:dyDescent="0.35">
      <c r="B209" s="154"/>
      <c r="C209" s="154"/>
      <c r="D209" s="154"/>
      <c r="E209" s="6" t="s">
        <v>13</v>
      </c>
      <c r="F209" s="32" t="s">
        <v>17</v>
      </c>
      <c r="G209" s="37"/>
      <c r="H209" s="61">
        <f t="shared" si="18"/>
        <v>10214.653076491491</v>
      </c>
      <c r="I209" s="61">
        <f t="shared" si="19"/>
        <v>2971.5354404338882</v>
      </c>
      <c r="J209" s="62">
        <f t="shared" si="20"/>
        <v>59.430708808677764</v>
      </c>
      <c r="K209" s="6"/>
      <c r="L209" s="45"/>
      <c r="U209" s="121" t="str" cm="1">
        <f t="array" ref="U209">IF(C209="",INDEX(C203:C209,MATCH(TRUE,INDEX((C203:C209&lt;&gt;""),0),0)),C209)</f>
        <v>BOS Champagne</v>
      </c>
      <c r="V209" s="122">
        <f t="shared" si="22"/>
        <v>0.92860482513559006</v>
      </c>
      <c r="W209" s="122">
        <v>20000</v>
      </c>
      <c r="X209" s="122"/>
      <c r="Y209" s="122">
        <f t="shared" si="21"/>
        <v>19861</v>
      </c>
      <c r="Z209" s="123"/>
    </row>
    <row r="210" spans="1:26" ht="25" customHeight="1" outlineLevel="1" x14ac:dyDescent="0.35">
      <c r="B210" s="154"/>
      <c r="C210" s="154"/>
      <c r="D210" s="154"/>
      <c r="E210" s="6" t="s">
        <v>113</v>
      </c>
      <c r="F210" s="32" t="s">
        <v>21</v>
      </c>
      <c r="G210" s="37"/>
      <c r="H210" s="61" t="str">
        <f t="shared" si="18"/>
        <v/>
      </c>
      <c r="I210" s="61" t="str">
        <f t="shared" si="19"/>
        <v/>
      </c>
      <c r="J210" s="62" t="str">
        <f t="shared" si="20"/>
        <v/>
      </c>
      <c r="K210" s="6"/>
      <c r="L210" s="45"/>
      <c r="U210" s="121" t="str" cm="1">
        <f t="array" ref="U210">IF(C210="",INDEX(C204:C210,MATCH(TRUE,INDEX((C204:C210&lt;&gt;""),0),0)),C210)</f>
        <v>BOS Champagne</v>
      </c>
      <c r="V210" s="122">
        <f t="shared" si="22"/>
        <v>0.92860482513559006</v>
      </c>
      <c r="W210" s="122">
        <v>20000</v>
      </c>
      <c r="X210" s="122"/>
      <c r="Y210" s="122">
        <f t="shared" si="21"/>
        <v>19861</v>
      </c>
      <c r="Z210" s="123"/>
    </row>
    <row r="211" spans="1:26" ht="25" customHeight="1" outlineLevel="1" x14ac:dyDescent="0.35">
      <c r="B211" s="154"/>
      <c r="C211" s="154"/>
      <c r="D211" s="154"/>
      <c r="E211" s="6" t="s">
        <v>112</v>
      </c>
      <c r="F211" s="32" t="s">
        <v>21</v>
      </c>
      <c r="G211" s="37"/>
      <c r="H211" s="61" t="str">
        <f t="shared" si="18"/>
        <v/>
      </c>
      <c r="I211" s="61" t="str">
        <f t="shared" si="19"/>
        <v/>
      </c>
      <c r="J211" s="62" t="str">
        <f t="shared" si="20"/>
        <v/>
      </c>
      <c r="K211" s="6"/>
      <c r="L211" s="45"/>
      <c r="U211" s="121" t="str" cm="1">
        <f t="array" ref="U211">IF(C211="",INDEX(C205:C211,MATCH(TRUE,INDEX((C205:C211&lt;&gt;""),0),0)),C211)</f>
        <v>BOS Champagne</v>
      </c>
      <c r="V211" s="122">
        <f t="shared" si="22"/>
        <v>0.92860482513559006</v>
      </c>
      <c r="W211" s="122">
        <v>20000</v>
      </c>
      <c r="X211" s="122"/>
      <c r="Y211" s="122">
        <f t="shared" si="21"/>
        <v>19861</v>
      </c>
      <c r="Z211" s="123"/>
    </row>
    <row r="212" spans="1:26" ht="25" customHeight="1" outlineLevel="1" x14ac:dyDescent="0.35">
      <c r="B212" s="154"/>
      <c r="C212" s="154"/>
      <c r="D212" s="154"/>
      <c r="E212" s="6" t="s">
        <v>109</v>
      </c>
      <c r="F212" s="32" t="s">
        <v>21</v>
      </c>
      <c r="G212" s="37"/>
      <c r="H212" s="61" t="str">
        <f t="shared" si="18"/>
        <v/>
      </c>
      <c r="I212" s="61" t="str">
        <f t="shared" si="19"/>
        <v/>
      </c>
      <c r="J212" s="62" t="str">
        <f t="shared" si="20"/>
        <v/>
      </c>
      <c r="K212" s="6"/>
      <c r="L212" s="45"/>
      <c r="U212" s="121" t="str" cm="1">
        <f t="array" ref="U212">IF(C212="",INDEX(C206:C212,MATCH(TRUE,INDEX((C206:C212&lt;&gt;""),0),0)),C212)</f>
        <v>BOS Champagne</v>
      </c>
      <c r="V212" s="122">
        <f t="shared" si="22"/>
        <v>0.92860482513559006</v>
      </c>
      <c r="W212" s="122">
        <v>20000</v>
      </c>
      <c r="X212" s="122"/>
      <c r="Y212" s="122">
        <f t="shared" si="21"/>
        <v>19861</v>
      </c>
      <c r="Z212" s="123"/>
    </row>
    <row r="213" spans="1:26" ht="25" customHeight="1" outlineLevel="1" x14ac:dyDescent="0.35">
      <c r="B213" s="155"/>
      <c r="C213" s="155"/>
      <c r="D213" s="155"/>
      <c r="E213" s="7" t="s">
        <v>14</v>
      </c>
      <c r="F213" s="32" t="s">
        <v>108</v>
      </c>
      <c r="G213" s="37"/>
      <c r="H213" s="61" t="str">
        <f t="shared" si="18"/>
        <v/>
      </c>
      <c r="I213" s="61" t="str">
        <f t="shared" si="19"/>
        <v/>
      </c>
      <c r="J213" s="62" t="str">
        <f t="shared" si="20"/>
        <v/>
      </c>
      <c r="K213" s="6"/>
      <c r="L213" s="46"/>
      <c r="U213" s="121" t="str" cm="1">
        <f t="array" ref="U213">IF(C213="",INDEX(C207:C213,MATCH(TRUE,INDEX((C207:C213&lt;&gt;""),0),0)),C213)</f>
        <v>BOS Champagne</v>
      </c>
      <c r="V213" s="122">
        <f t="shared" si="22"/>
        <v>0.92860482513559006</v>
      </c>
      <c r="W213" s="122">
        <v>20000</v>
      </c>
      <c r="X213" s="122"/>
      <c r="Y213" s="122">
        <f t="shared" si="21"/>
        <v>19861</v>
      </c>
      <c r="Z213" s="123"/>
    </row>
    <row r="214" spans="1:26" ht="30" customHeight="1" x14ac:dyDescent="0.35">
      <c r="A214" s="8" t="s">
        <v>136</v>
      </c>
      <c r="B214" s="150">
        <v>37</v>
      </c>
      <c r="C214" s="150" t="s">
        <v>61</v>
      </c>
      <c r="D214" s="150" t="s">
        <v>62</v>
      </c>
      <c r="E214" s="26" t="s">
        <v>105</v>
      </c>
      <c r="F214" s="31"/>
      <c r="G214" s="34"/>
      <c r="H214" s="55" t="str">
        <f t="shared" si="18"/>
        <v/>
      </c>
      <c r="I214" s="55" t="str">
        <f t="shared" si="19"/>
        <v/>
      </c>
      <c r="J214" s="56" t="str">
        <f t="shared" si="20"/>
        <v/>
      </c>
      <c r="K214" s="2"/>
      <c r="L214" s="41"/>
      <c r="U214" s="121" t="str" cm="1">
        <f t="array" ref="U214">IF(C214="",INDEX(C208:C214,MATCH(TRUE,INDEX((C208:C214&lt;&gt;""),0),0)),C214)</f>
        <v>BOS Hestia</v>
      </c>
      <c r="V214" s="122">
        <f t="shared" si="22"/>
        <v>0.73573966710304839</v>
      </c>
      <c r="W214" s="122">
        <v>18000</v>
      </c>
      <c r="X214" s="122"/>
      <c r="Y214" s="122">
        <f t="shared" si="21"/>
        <v>15736</v>
      </c>
      <c r="Z214" s="123"/>
    </row>
    <row r="215" spans="1:26" ht="25" customHeight="1" outlineLevel="1" x14ac:dyDescent="0.35">
      <c r="B215" s="151"/>
      <c r="C215" s="151"/>
      <c r="D215" s="151"/>
      <c r="E215" s="3" t="s">
        <v>13</v>
      </c>
      <c r="F215" s="31" t="s">
        <v>17</v>
      </c>
      <c r="G215" s="35"/>
      <c r="H215" s="57">
        <f t="shared" si="18"/>
        <v>8093.1363381335323</v>
      </c>
      <c r="I215" s="57">
        <f t="shared" si="19"/>
        <v>2354.366934729755</v>
      </c>
      <c r="J215" s="58">
        <f t="shared" si="20"/>
        <v>47.087338694595097</v>
      </c>
      <c r="K215" s="3"/>
      <c r="L215" s="42" t="s">
        <v>270</v>
      </c>
      <c r="U215" s="121" t="str" cm="1">
        <f t="array" ref="U215">IF(C215="",INDEX(C209:C215,MATCH(TRUE,INDEX((C209:C215&lt;&gt;""),0),0)),C215)</f>
        <v>BOS Hestia</v>
      </c>
      <c r="V215" s="122">
        <f t="shared" si="22"/>
        <v>0.73573966710304839</v>
      </c>
      <c r="W215" s="122">
        <v>18000</v>
      </c>
      <c r="X215" s="122"/>
      <c r="Y215" s="122">
        <f t="shared" si="21"/>
        <v>15736</v>
      </c>
      <c r="Z215" s="123"/>
    </row>
    <row r="216" spans="1:26" ht="25" customHeight="1" outlineLevel="1" x14ac:dyDescent="0.35">
      <c r="B216" s="151"/>
      <c r="C216" s="151"/>
      <c r="D216" s="151"/>
      <c r="E216" s="3" t="s">
        <v>113</v>
      </c>
      <c r="F216" s="31" t="s">
        <v>21</v>
      </c>
      <c r="G216" s="35"/>
      <c r="H216" s="57" t="str">
        <f t="shared" si="18"/>
        <v/>
      </c>
      <c r="I216" s="57" t="str">
        <f t="shared" si="19"/>
        <v/>
      </c>
      <c r="J216" s="58" t="str">
        <f t="shared" si="20"/>
        <v/>
      </c>
      <c r="K216" s="3"/>
      <c r="L216" s="42"/>
      <c r="U216" s="121" t="str" cm="1">
        <f t="array" ref="U216">IF(C216="",INDEX(C210:C216,MATCH(TRUE,INDEX((C210:C216&lt;&gt;""),0),0)),C216)</f>
        <v>BOS Hestia</v>
      </c>
      <c r="V216" s="122">
        <f t="shared" si="22"/>
        <v>0.73573966710304839</v>
      </c>
      <c r="W216" s="122">
        <v>18000</v>
      </c>
      <c r="X216" s="122"/>
      <c r="Y216" s="122">
        <f t="shared" si="21"/>
        <v>15736</v>
      </c>
      <c r="Z216" s="123"/>
    </row>
    <row r="217" spans="1:26" ht="25" customHeight="1" outlineLevel="1" x14ac:dyDescent="0.35">
      <c r="B217" s="151"/>
      <c r="C217" s="151"/>
      <c r="D217" s="151"/>
      <c r="E217" s="3" t="s">
        <v>112</v>
      </c>
      <c r="F217" s="31" t="s">
        <v>21</v>
      </c>
      <c r="G217" s="35"/>
      <c r="H217" s="57" t="str">
        <f t="shared" si="18"/>
        <v/>
      </c>
      <c r="I217" s="57" t="str">
        <f t="shared" si="19"/>
        <v/>
      </c>
      <c r="J217" s="58" t="str">
        <f t="shared" si="20"/>
        <v/>
      </c>
      <c r="K217" s="3"/>
      <c r="L217" s="42" t="s">
        <v>271</v>
      </c>
      <c r="U217" s="121" t="str" cm="1">
        <f t="array" ref="U217">IF(C217="",INDEX(C211:C217,MATCH(TRUE,INDEX((C211:C217&lt;&gt;""),0),0)),C217)</f>
        <v>BOS Hestia</v>
      </c>
      <c r="V217" s="122">
        <f t="shared" si="22"/>
        <v>0.73573966710304839</v>
      </c>
      <c r="W217" s="122">
        <v>18000</v>
      </c>
      <c r="X217" s="122"/>
      <c r="Y217" s="122">
        <f t="shared" si="21"/>
        <v>15736</v>
      </c>
      <c r="Z217" s="123"/>
    </row>
    <row r="218" spans="1:26" ht="25" customHeight="1" outlineLevel="1" x14ac:dyDescent="0.35">
      <c r="B218" s="151"/>
      <c r="C218" s="151"/>
      <c r="D218" s="151"/>
      <c r="E218" s="3" t="s">
        <v>109</v>
      </c>
      <c r="F218" s="31" t="s">
        <v>17</v>
      </c>
      <c r="G218" s="35"/>
      <c r="H218" s="57">
        <f t="shared" ref="H218:H283" si="23">IF(F218="Done", V218*VLOOKUP(E218, $AB$3:$AC$11, 2, FALSE), "")</f>
        <v>6106.6392369553014</v>
      </c>
      <c r="I218" s="57">
        <f t="shared" ref="I218:I283" si="24">IF(F218="Done", V218*VLOOKUP(E218, $AB$3:$AD$11, 3, FALSE), "")</f>
        <v>735.73966710304842</v>
      </c>
      <c r="J218" s="58">
        <f t="shared" ref="J218:J283" si="25">IF(F218="Done", V218*VLOOKUP(E218, $AB$3:$AE$11, 4, FALSE), "")</f>
        <v>33.108285019637179</v>
      </c>
      <c r="K218" s="3"/>
      <c r="L218" s="42" t="s">
        <v>272</v>
      </c>
      <c r="U218" s="121" t="str" cm="1">
        <f t="array" ref="U218">IF(C218="",INDEX(C212:C218,MATCH(TRUE,INDEX((C212:C218&lt;&gt;""),0),0)),C218)</f>
        <v>BOS Hestia</v>
      </c>
      <c r="V218" s="122">
        <f t="shared" si="22"/>
        <v>0.73573966710304839</v>
      </c>
      <c r="W218" s="122">
        <v>18000</v>
      </c>
      <c r="X218" s="122"/>
      <c r="Y218" s="122">
        <f t="shared" si="21"/>
        <v>15736</v>
      </c>
      <c r="Z218" s="123"/>
    </row>
    <row r="219" spans="1:26" ht="25" customHeight="1" outlineLevel="1" x14ac:dyDescent="0.35">
      <c r="B219" s="152"/>
      <c r="C219" s="152"/>
      <c r="D219" s="152"/>
      <c r="E219" s="4" t="s">
        <v>14</v>
      </c>
      <c r="F219" s="31" t="s">
        <v>21</v>
      </c>
      <c r="G219" s="39"/>
      <c r="H219" s="65" t="str">
        <f t="shared" si="23"/>
        <v/>
      </c>
      <c r="I219" s="65" t="str">
        <f t="shared" si="24"/>
        <v/>
      </c>
      <c r="J219" s="66" t="str">
        <f t="shared" si="25"/>
        <v/>
      </c>
      <c r="K219" s="4"/>
      <c r="L219" s="43"/>
      <c r="U219" s="121" t="str" cm="1">
        <f t="array" ref="U219">IF(C219="",INDEX(C213:C219,MATCH(TRUE,INDEX((C213:C219&lt;&gt;""),0),0)),C219)</f>
        <v>BOS Hestia</v>
      </c>
      <c r="V219" s="122">
        <f t="shared" si="22"/>
        <v>0.73573966710304839</v>
      </c>
      <c r="W219" s="122">
        <v>18000</v>
      </c>
      <c r="X219" s="122"/>
      <c r="Y219" s="122">
        <f t="shared" si="21"/>
        <v>15736</v>
      </c>
      <c r="Z219" s="123"/>
    </row>
    <row r="220" spans="1:26" ht="30" customHeight="1" x14ac:dyDescent="0.35">
      <c r="A220" s="8" t="s">
        <v>136</v>
      </c>
      <c r="B220" s="153">
        <v>38</v>
      </c>
      <c r="C220" s="153" t="s">
        <v>63</v>
      </c>
      <c r="D220" s="153" t="s">
        <v>64</v>
      </c>
      <c r="E220" s="27" t="s">
        <v>105</v>
      </c>
      <c r="F220" s="32"/>
      <c r="G220" s="37"/>
      <c r="H220" s="61" t="str">
        <f t="shared" si="23"/>
        <v/>
      </c>
      <c r="I220" s="61" t="str">
        <f t="shared" si="24"/>
        <v/>
      </c>
      <c r="J220" s="62" t="str">
        <f t="shared" si="25"/>
        <v/>
      </c>
      <c r="K220" s="6"/>
      <c r="L220" s="44"/>
      <c r="U220" s="121" t="str" cm="1">
        <f t="array" ref="U220">IF(C220="",INDEX(C214:C220,MATCH(TRUE,INDEX((C214:C220&lt;&gt;""),0),0)),C220)</f>
        <v>BOS Tethys</v>
      </c>
      <c r="V220" s="122">
        <f t="shared" si="22"/>
        <v>0.73573966710304839</v>
      </c>
      <c r="W220" s="122">
        <v>18000</v>
      </c>
      <c r="X220" s="122"/>
      <c r="Y220" s="122">
        <f t="shared" si="21"/>
        <v>15736</v>
      </c>
      <c r="Z220" s="123"/>
    </row>
    <row r="221" spans="1:26" ht="25" customHeight="1" outlineLevel="1" x14ac:dyDescent="0.35">
      <c r="B221" s="154"/>
      <c r="C221" s="154"/>
      <c r="D221" s="154"/>
      <c r="E221" s="6" t="s">
        <v>13</v>
      </c>
      <c r="F221" s="32" t="s">
        <v>17</v>
      </c>
      <c r="G221" s="37"/>
      <c r="H221" s="61">
        <f t="shared" si="23"/>
        <v>8093.1363381335323</v>
      </c>
      <c r="I221" s="61">
        <f t="shared" si="24"/>
        <v>2354.366934729755</v>
      </c>
      <c r="J221" s="62">
        <f t="shared" si="25"/>
        <v>47.087338694595097</v>
      </c>
      <c r="K221" s="6"/>
      <c r="L221" s="45" t="s">
        <v>268</v>
      </c>
      <c r="U221" s="121" t="str" cm="1">
        <f t="array" ref="U221">IF(C221="",INDEX(C215:C221,MATCH(TRUE,INDEX((C215:C221&lt;&gt;""),0),0)),C221)</f>
        <v>BOS Tethys</v>
      </c>
      <c r="V221" s="122">
        <f t="shared" si="22"/>
        <v>0.73573966710304839</v>
      </c>
      <c r="W221" s="122">
        <v>18000</v>
      </c>
      <c r="X221" s="122"/>
      <c r="Y221" s="122">
        <f t="shared" si="21"/>
        <v>15736</v>
      </c>
      <c r="Z221" s="123"/>
    </row>
    <row r="222" spans="1:26" ht="25" customHeight="1" outlineLevel="1" x14ac:dyDescent="0.35">
      <c r="B222" s="154"/>
      <c r="C222" s="154"/>
      <c r="D222" s="154"/>
      <c r="E222" s="6" t="s">
        <v>113</v>
      </c>
      <c r="F222" s="32" t="s">
        <v>21</v>
      </c>
      <c r="G222" s="37"/>
      <c r="H222" s="61" t="str">
        <f t="shared" si="23"/>
        <v/>
      </c>
      <c r="I222" s="61" t="str">
        <f t="shared" si="24"/>
        <v/>
      </c>
      <c r="J222" s="62" t="str">
        <f t="shared" si="25"/>
        <v/>
      </c>
      <c r="K222" s="6"/>
      <c r="L222" s="45"/>
      <c r="U222" s="121" t="str" cm="1">
        <f t="array" ref="U222">IF(C222="",INDEX(C216:C222,MATCH(TRUE,INDEX((C216:C222&lt;&gt;""),0),0)),C222)</f>
        <v>BOS Tethys</v>
      </c>
      <c r="V222" s="122">
        <f t="shared" si="22"/>
        <v>0.73573966710304839</v>
      </c>
      <c r="W222" s="122">
        <v>18000</v>
      </c>
      <c r="X222" s="122"/>
      <c r="Y222" s="122">
        <f t="shared" si="21"/>
        <v>15736</v>
      </c>
      <c r="Z222" s="123"/>
    </row>
    <row r="223" spans="1:26" ht="25" customHeight="1" outlineLevel="1" x14ac:dyDescent="0.35">
      <c r="B223" s="154"/>
      <c r="C223" s="154"/>
      <c r="D223" s="154"/>
      <c r="E223" s="6" t="s">
        <v>112</v>
      </c>
      <c r="F223" s="32" t="s">
        <v>21</v>
      </c>
      <c r="G223" s="37"/>
      <c r="H223" s="61" t="str">
        <f t="shared" si="23"/>
        <v/>
      </c>
      <c r="I223" s="61" t="str">
        <f t="shared" si="24"/>
        <v/>
      </c>
      <c r="J223" s="62" t="str">
        <f t="shared" si="25"/>
        <v/>
      </c>
      <c r="K223" s="6"/>
      <c r="L223" s="45" t="s">
        <v>269</v>
      </c>
      <c r="U223" s="121" t="str" cm="1">
        <f t="array" ref="U223">IF(C223="",INDEX(C217:C223,MATCH(TRUE,INDEX((C217:C223&lt;&gt;""),0),0)),C223)</f>
        <v>BOS Tethys</v>
      </c>
      <c r="V223" s="122">
        <f t="shared" si="22"/>
        <v>0.73573966710304839</v>
      </c>
      <c r="W223" s="122">
        <v>18000</v>
      </c>
      <c r="X223" s="122"/>
      <c r="Y223" s="122">
        <f t="shared" si="21"/>
        <v>15736</v>
      </c>
      <c r="Z223" s="123"/>
    </row>
    <row r="224" spans="1:26" ht="25" customHeight="1" outlineLevel="1" x14ac:dyDescent="0.35">
      <c r="B224" s="154"/>
      <c r="C224" s="154"/>
      <c r="D224" s="154"/>
      <c r="E224" s="6" t="s">
        <v>109</v>
      </c>
      <c r="F224" s="32" t="s">
        <v>17</v>
      </c>
      <c r="G224" s="37"/>
      <c r="H224" s="61">
        <f t="shared" si="23"/>
        <v>6106.6392369553014</v>
      </c>
      <c r="I224" s="61">
        <f t="shared" si="24"/>
        <v>735.73966710304842</v>
      </c>
      <c r="J224" s="62">
        <f t="shared" si="25"/>
        <v>33.108285019637179</v>
      </c>
      <c r="K224" s="6"/>
      <c r="L224" s="45"/>
      <c r="U224" s="121" t="str" cm="1">
        <f t="array" ref="U224">IF(C224="",INDEX(C218:C224,MATCH(TRUE,INDEX((C218:C224&lt;&gt;""),0),0)),C224)</f>
        <v>BOS Tethys</v>
      </c>
      <c r="V224" s="122">
        <f t="shared" si="22"/>
        <v>0.73573966710304839</v>
      </c>
      <c r="W224" s="122">
        <v>18000</v>
      </c>
      <c r="X224" s="122"/>
      <c r="Y224" s="122">
        <f t="shared" si="21"/>
        <v>15736</v>
      </c>
      <c r="Z224" s="123"/>
    </row>
    <row r="225" spans="1:26" ht="25" customHeight="1" outlineLevel="1" x14ac:dyDescent="0.35">
      <c r="B225" s="155"/>
      <c r="C225" s="155"/>
      <c r="D225" s="155"/>
      <c r="E225" s="7" t="s">
        <v>14</v>
      </c>
      <c r="F225" s="32" t="s">
        <v>21</v>
      </c>
      <c r="G225" s="37"/>
      <c r="H225" s="61" t="str">
        <f t="shared" si="23"/>
        <v/>
      </c>
      <c r="I225" s="61" t="str">
        <f t="shared" si="24"/>
        <v/>
      </c>
      <c r="J225" s="62" t="str">
        <f t="shared" si="25"/>
        <v/>
      </c>
      <c r="K225" s="6"/>
      <c r="L225" s="46"/>
      <c r="U225" s="121" t="str" cm="1">
        <f t="array" ref="U225">IF(C225="",INDEX(C219:C225,MATCH(TRUE,INDEX((C219:C225&lt;&gt;""),0),0)),C225)</f>
        <v>BOS Tethys</v>
      </c>
      <c r="V225" s="122">
        <f t="shared" si="22"/>
        <v>0.73573966710304839</v>
      </c>
      <c r="W225" s="122">
        <v>18000</v>
      </c>
      <c r="X225" s="122"/>
      <c r="Y225" s="122">
        <f t="shared" si="21"/>
        <v>15736</v>
      </c>
      <c r="Z225" s="123"/>
    </row>
    <row r="226" spans="1:26" ht="30" customHeight="1" x14ac:dyDescent="0.35">
      <c r="A226" s="8" t="s">
        <v>136</v>
      </c>
      <c r="B226" s="150">
        <v>39</v>
      </c>
      <c r="C226" s="150" t="s">
        <v>65</v>
      </c>
      <c r="D226" s="150" t="s">
        <v>64</v>
      </c>
      <c r="E226" s="26" t="s">
        <v>105</v>
      </c>
      <c r="F226" s="31"/>
      <c r="G226" s="34"/>
      <c r="H226" s="55" t="str">
        <f t="shared" si="23"/>
        <v/>
      </c>
      <c r="I226" s="55" t="str">
        <f t="shared" si="24"/>
        <v/>
      </c>
      <c r="J226" s="56" t="str">
        <f t="shared" si="25"/>
        <v/>
      </c>
      <c r="K226" s="2"/>
      <c r="L226" s="41"/>
      <c r="U226" s="121" t="str" cm="1">
        <f t="array" ref="U226">IF(C226="",INDEX(C220:C226,MATCH(TRUE,INDEX((C220:C226&lt;&gt;""),0),0)),C226)</f>
        <v>BOS Thalassa</v>
      </c>
      <c r="V226" s="122">
        <f t="shared" si="22"/>
        <v>0.73573966710304839</v>
      </c>
      <c r="W226" s="122">
        <v>18000</v>
      </c>
      <c r="X226" s="122"/>
      <c r="Y226" s="122">
        <f t="shared" si="21"/>
        <v>15736</v>
      </c>
      <c r="Z226" s="123"/>
    </row>
    <row r="227" spans="1:26" ht="25" customHeight="1" outlineLevel="1" x14ac:dyDescent="0.35">
      <c r="B227" s="151"/>
      <c r="C227" s="151"/>
      <c r="D227" s="151"/>
      <c r="E227" s="3" t="s">
        <v>13</v>
      </c>
      <c r="F227" s="31" t="s">
        <v>17</v>
      </c>
      <c r="G227" s="35"/>
      <c r="H227" s="57">
        <f t="shared" si="23"/>
        <v>8093.1363381335323</v>
      </c>
      <c r="I227" s="57">
        <f t="shared" si="24"/>
        <v>2354.366934729755</v>
      </c>
      <c r="J227" s="58">
        <f t="shared" si="25"/>
        <v>47.087338694595097</v>
      </c>
      <c r="K227" s="3"/>
      <c r="L227" s="42"/>
      <c r="U227" s="121" t="str" cm="1">
        <f t="array" ref="U227">IF(C227="",INDEX(C221:C227,MATCH(TRUE,INDEX((C221:C227&lt;&gt;""),0),0)),C227)</f>
        <v>BOS Thalassa</v>
      </c>
      <c r="V227" s="122">
        <f t="shared" si="22"/>
        <v>0.73573966710304839</v>
      </c>
      <c r="W227" s="122">
        <v>18000</v>
      </c>
      <c r="X227" s="122"/>
      <c r="Y227" s="122">
        <f t="shared" si="21"/>
        <v>15736</v>
      </c>
      <c r="Z227" s="123"/>
    </row>
    <row r="228" spans="1:26" ht="25" customHeight="1" outlineLevel="1" x14ac:dyDescent="0.35">
      <c r="B228" s="151"/>
      <c r="C228" s="151"/>
      <c r="D228" s="151"/>
      <c r="E228" s="3" t="s">
        <v>113</v>
      </c>
      <c r="F228" s="31" t="s">
        <v>21</v>
      </c>
      <c r="G228" s="35"/>
      <c r="H228" s="57" t="str">
        <f t="shared" si="23"/>
        <v/>
      </c>
      <c r="I228" s="57" t="str">
        <f t="shared" si="24"/>
        <v/>
      </c>
      <c r="J228" s="58" t="str">
        <f t="shared" si="25"/>
        <v/>
      </c>
      <c r="K228" s="3"/>
      <c r="L228" s="42"/>
      <c r="U228" s="121" t="str" cm="1">
        <f t="array" ref="U228">IF(C228="",INDEX(C222:C228,MATCH(TRUE,INDEX((C222:C228&lt;&gt;""),0),0)),C228)</f>
        <v>BOS Thalassa</v>
      </c>
      <c r="V228" s="122">
        <f t="shared" si="22"/>
        <v>0.73573966710304839</v>
      </c>
      <c r="W228" s="122">
        <v>18000</v>
      </c>
      <c r="X228" s="122"/>
      <c r="Y228" s="122">
        <f t="shared" si="21"/>
        <v>15736</v>
      </c>
      <c r="Z228" s="123"/>
    </row>
    <row r="229" spans="1:26" ht="25" customHeight="1" outlineLevel="1" x14ac:dyDescent="0.35">
      <c r="B229" s="151"/>
      <c r="C229" s="151"/>
      <c r="D229" s="151"/>
      <c r="E229" s="3" t="s">
        <v>112</v>
      </c>
      <c r="F229" s="31" t="s">
        <v>21</v>
      </c>
      <c r="G229" s="35"/>
      <c r="H229" s="57" t="str">
        <f t="shared" si="23"/>
        <v/>
      </c>
      <c r="I229" s="57" t="str">
        <f t="shared" si="24"/>
        <v/>
      </c>
      <c r="J229" s="58" t="str">
        <f t="shared" si="25"/>
        <v/>
      </c>
      <c r="K229" s="3"/>
      <c r="L229" s="42" t="s">
        <v>138</v>
      </c>
      <c r="U229" s="121" t="str" cm="1">
        <f t="array" ref="U229">IF(C229="",INDEX(C223:C229,MATCH(TRUE,INDEX((C223:C229&lt;&gt;""),0),0)),C229)</f>
        <v>BOS Thalassa</v>
      </c>
      <c r="V229" s="122">
        <f t="shared" si="22"/>
        <v>0.73573966710304839</v>
      </c>
      <c r="W229" s="122">
        <v>18000</v>
      </c>
      <c r="X229" s="122"/>
      <c r="Y229" s="122">
        <f t="shared" si="21"/>
        <v>15736</v>
      </c>
      <c r="Z229" s="123"/>
    </row>
    <row r="230" spans="1:26" ht="25" customHeight="1" outlineLevel="1" x14ac:dyDescent="0.35">
      <c r="B230" s="151"/>
      <c r="C230" s="151"/>
      <c r="D230" s="151"/>
      <c r="E230" s="3" t="s">
        <v>109</v>
      </c>
      <c r="F230" s="31" t="s">
        <v>17</v>
      </c>
      <c r="G230" s="35"/>
      <c r="H230" s="57">
        <f t="shared" si="23"/>
        <v>6106.6392369553014</v>
      </c>
      <c r="I230" s="57">
        <f t="shared" si="24"/>
        <v>735.73966710304842</v>
      </c>
      <c r="J230" s="58">
        <f t="shared" si="25"/>
        <v>33.108285019637179</v>
      </c>
      <c r="K230" s="3"/>
      <c r="L230" s="42"/>
      <c r="U230" s="121" t="str" cm="1">
        <f t="array" ref="U230">IF(C230="",INDEX(C224:C230,MATCH(TRUE,INDEX((C224:C230&lt;&gt;""),0),0)),C230)</f>
        <v>BOS Thalassa</v>
      </c>
      <c r="V230" s="122">
        <f t="shared" si="22"/>
        <v>0.73573966710304839</v>
      </c>
      <c r="W230" s="122">
        <v>18000</v>
      </c>
      <c r="X230" s="122"/>
      <c r="Y230" s="122">
        <f t="shared" si="21"/>
        <v>15736</v>
      </c>
      <c r="Z230" s="123"/>
    </row>
    <row r="231" spans="1:26" ht="25" customHeight="1" outlineLevel="1" x14ac:dyDescent="0.35">
      <c r="B231" s="152"/>
      <c r="C231" s="152"/>
      <c r="D231" s="152"/>
      <c r="E231" s="4" t="s">
        <v>14</v>
      </c>
      <c r="F231" s="31" t="s">
        <v>21</v>
      </c>
      <c r="G231" s="39"/>
      <c r="H231" s="65" t="str">
        <f t="shared" si="23"/>
        <v/>
      </c>
      <c r="I231" s="65" t="str">
        <f t="shared" si="24"/>
        <v/>
      </c>
      <c r="J231" s="66" t="str">
        <f t="shared" si="25"/>
        <v/>
      </c>
      <c r="K231" s="4"/>
      <c r="L231" s="43"/>
      <c r="U231" s="121" t="str" cm="1">
        <f t="array" ref="U231">IF(C231="",INDEX(C225:C231,MATCH(TRUE,INDEX((C225:C231&lt;&gt;""),0),0)),C231)</f>
        <v>BOS Thalassa</v>
      </c>
      <c r="V231" s="122">
        <f t="shared" si="22"/>
        <v>0.73573966710304839</v>
      </c>
      <c r="W231" s="122">
        <v>18000</v>
      </c>
      <c r="X231" s="122"/>
      <c r="Y231" s="122">
        <f t="shared" si="21"/>
        <v>15736</v>
      </c>
      <c r="Z231" s="123"/>
    </row>
    <row r="232" spans="1:26" ht="30" customHeight="1" x14ac:dyDescent="0.35">
      <c r="A232" s="8" t="s">
        <v>136</v>
      </c>
      <c r="B232" s="153">
        <v>40</v>
      </c>
      <c r="C232" s="153" t="s">
        <v>66</v>
      </c>
      <c r="D232" s="153" t="s">
        <v>139</v>
      </c>
      <c r="E232" s="27" t="s">
        <v>105</v>
      </c>
      <c r="F232" s="32"/>
      <c r="G232" s="37"/>
      <c r="H232" s="61" t="str">
        <f t="shared" si="23"/>
        <v/>
      </c>
      <c r="I232" s="61" t="str">
        <f t="shared" si="24"/>
        <v/>
      </c>
      <c r="J232" s="62" t="str">
        <f t="shared" si="25"/>
        <v/>
      </c>
      <c r="K232" s="6"/>
      <c r="L232" s="44"/>
      <c r="U232" s="121" t="str" cm="1">
        <f t="array" ref="U232">IF(C232="",INDEX(C226:C232,MATCH(TRUE,INDEX((C226:C232&lt;&gt;""),0),0)),C232)</f>
        <v>BOS Theia</v>
      </c>
      <c r="V232" s="122">
        <f t="shared" si="22"/>
        <v>0.73573966710304839</v>
      </c>
      <c r="W232" s="122">
        <v>18000</v>
      </c>
      <c r="X232" s="122"/>
      <c r="Y232" s="122">
        <f t="shared" si="21"/>
        <v>15736</v>
      </c>
      <c r="Z232" s="123"/>
    </row>
    <row r="233" spans="1:26" ht="25" customHeight="1" outlineLevel="1" x14ac:dyDescent="0.35">
      <c r="B233" s="154"/>
      <c r="C233" s="154"/>
      <c r="D233" s="154"/>
      <c r="E233" s="6" t="s">
        <v>13</v>
      </c>
      <c r="F233" s="32" t="s">
        <v>21</v>
      </c>
      <c r="G233" s="37"/>
      <c r="H233" s="61" t="str">
        <f t="shared" si="23"/>
        <v/>
      </c>
      <c r="I233" s="61" t="str">
        <f t="shared" si="24"/>
        <v/>
      </c>
      <c r="J233" s="62" t="str">
        <f t="shared" si="25"/>
        <v/>
      </c>
      <c r="K233" s="6"/>
      <c r="L233" s="45"/>
      <c r="U233" s="121" t="str" cm="1">
        <f t="array" ref="U233">IF(C233="",INDEX(C227:C233,MATCH(TRUE,INDEX((C227:C233&lt;&gt;""),0),0)),C233)</f>
        <v>BOS Theia</v>
      </c>
      <c r="V233" s="122">
        <f t="shared" si="22"/>
        <v>0.73573966710304839</v>
      </c>
      <c r="W233" s="122">
        <v>18000</v>
      </c>
      <c r="X233" s="122"/>
      <c r="Y233" s="122">
        <f t="shared" si="21"/>
        <v>15736</v>
      </c>
      <c r="Z233" s="123"/>
    </row>
    <row r="234" spans="1:26" ht="25" customHeight="1" outlineLevel="1" x14ac:dyDescent="0.35">
      <c r="B234" s="154"/>
      <c r="C234" s="154"/>
      <c r="D234" s="154"/>
      <c r="E234" s="6" t="s">
        <v>113</v>
      </c>
      <c r="F234" s="32" t="s">
        <v>21</v>
      </c>
      <c r="G234" s="37"/>
      <c r="H234" s="61" t="str">
        <f t="shared" si="23"/>
        <v/>
      </c>
      <c r="I234" s="61" t="str">
        <f t="shared" si="24"/>
        <v/>
      </c>
      <c r="J234" s="62" t="str">
        <f t="shared" si="25"/>
        <v/>
      </c>
      <c r="K234" s="6"/>
      <c r="L234" s="45"/>
      <c r="U234" s="121" t="str" cm="1">
        <f t="array" ref="U234">IF(C234="",INDEX(C228:C234,MATCH(TRUE,INDEX((C228:C234&lt;&gt;""),0),0)),C234)</f>
        <v>BOS Theia</v>
      </c>
      <c r="V234" s="122">
        <f t="shared" si="22"/>
        <v>0.73573966710304839</v>
      </c>
      <c r="W234" s="122">
        <v>18000</v>
      </c>
      <c r="X234" s="122"/>
      <c r="Y234" s="122">
        <f t="shared" si="21"/>
        <v>15736</v>
      </c>
      <c r="Z234" s="123"/>
    </row>
    <row r="235" spans="1:26" ht="25" customHeight="1" outlineLevel="1" x14ac:dyDescent="0.35">
      <c r="B235" s="154"/>
      <c r="C235" s="154"/>
      <c r="D235" s="154"/>
      <c r="E235" s="6" t="s">
        <v>112</v>
      </c>
      <c r="F235" s="32" t="s">
        <v>21</v>
      </c>
      <c r="G235" s="37"/>
      <c r="H235" s="61" t="str">
        <f t="shared" si="23"/>
        <v/>
      </c>
      <c r="I235" s="61" t="str">
        <f t="shared" si="24"/>
        <v/>
      </c>
      <c r="J235" s="62" t="str">
        <f t="shared" si="25"/>
        <v/>
      </c>
      <c r="K235" s="6"/>
      <c r="L235" s="45" t="s">
        <v>138</v>
      </c>
      <c r="U235" s="121" t="str" cm="1">
        <f t="array" ref="U235">IF(C235="",INDEX(C229:C235,MATCH(TRUE,INDEX((C229:C235&lt;&gt;""),0),0)),C235)</f>
        <v>BOS Theia</v>
      </c>
      <c r="V235" s="122">
        <f t="shared" si="22"/>
        <v>0.73573966710304839</v>
      </c>
      <c r="W235" s="122">
        <v>18000</v>
      </c>
      <c r="X235" s="122"/>
      <c r="Y235" s="122">
        <f t="shared" si="21"/>
        <v>15736</v>
      </c>
      <c r="Z235" s="123"/>
    </row>
    <row r="236" spans="1:26" ht="25" customHeight="1" outlineLevel="1" x14ac:dyDescent="0.35">
      <c r="B236" s="154"/>
      <c r="C236" s="154"/>
      <c r="D236" s="154"/>
      <c r="E236" s="6" t="s">
        <v>109</v>
      </c>
      <c r="F236" s="32" t="s">
        <v>21</v>
      </c>
      <c r="G236" s="37"/>
      <c r="H236" s="61" t="str">
        <f t="shared" si="23"/>
        <v/>
      </c>
      <c r="I236" s="61" t="str">
        <f t="shared" si="24"/>
        <v/>
      </c>
      <c r="J236" s="62" t="str">
        <f t="shared" si="25"/>
        <v/>
      </c>
      <c r="K236" s="6"/>
      <c r="L236" s="45"/>
      <c r="U236" s="121" t="str" cm="1">
        <f t="array" ref="U236">IF(C236="",INDEX(C230:C236,MATCH(TRUE,INDEX((C230:C236&lt;&gt;""),0),0)),C236)</f>
        <v>BOS Theia</v>
      </c>
      <c r="V236" s="122">
        <f t="shared" si="22"/>
        <v>0.73573966710304839</v>
      </c>
      <c r="W236" s="122">
        <v>18000</v>
      </c>
      <c r="X236" s="122"/>
      <c r="Y236" s="122">
        <f t="shared" si="21"/>
        <v>15736</v>
      </c>
      <c r="Z236" s="123"/>
    </row>
    <row r="237" spans="1:26" ht="25" customHeight="1" outlineLevel="1" x14ac:dyDescent="0.35">
      <c r="B237" s="155"/>
      <c r="C237" s="155"/>
      <c r="D237" s="155"/>
      <c r="E237" s="7" t="s">
        <v>14</v>
      </c>
      <c r="F237" s="32" t="s">
        <v>21</v>
      </c>
      <c r="G237" s="37"/>
      <c r="H237" s="61" t="str">
        <f t="shared" si="23"/>
        <v/>
      </c>
      <c r="I237" s="61" t="str">
        <f t="shared" si="24"/>
        <v/>
      </c>
      <c r="J237" s="62" t="str">
        <f t="shared" si="25"/>
        <v/>
      </c>
      <c r="K237" s="6"/>
      <c r="L237" s="46"/>
      <c r="U237" s="121" t="str" cm="1">
        <f t="array" ref="U237">IF(C237="",INDEX(C231:C237,MATCH(TRUE,INDEX((C231:C237&lt;&gt;""),0),0)),C237)</f>
        <v>BOS Theia</v>
      </c>
      <c r="V237" s="122">
        <f t="shared" si="22"/>
        <v>0.73573966710304839</v>
      </c>
      <c r="W237" s="122">
        <v>18000</v>
      </c>
      <c r="X237" s="122"/>
      <c r="Y237" s="122">
        <f t="shared" si="21"/>
        <v>15736</v>
      </c>
      <c r="Z237" s="123"/>
    </row>
    <row r="238" spans="1:26" ht="30" customHeight="1" x14ac:dyDescent="0.35">
      <c r="A238" s="8" t="s">
        <v>136</v>
      </c>
      <c r="B238" s="150">
        <v>41</v>
      </c>
      <c r="C238" s="150" t="s">
        <v>67</v>
      </c>
      <c r="D238" s="150" t="s">
        <v>64</v>
      </c>
      <c r="E238" s="26" t="s">
        <v>105</v>
      </c>
      <c r="F238" s="31"/>
      <c r="G238" s="34"/>
      <c r="H238" s="55" t="str">
        <f t="shared" si="23"/>
        <v/>
      </c>
      <c r="I238" s="55" t="str">
        <f t="shared" si="24"/>
        <v/>
      </c>
      <c r="J238" s="56" t="str">
        <f t="shared" si="25"/>
        <v/>
      </c>
      <c r="K238" s="2"/>
      <c r="L238" s="41"/>
      <c r="U238" s="121" t="str" cm="1">
        <f t="array" ref="U238">IF(C238="",INDEX(C232:C238,MATCH(TRUE,INDEX((C232:C238&lt;&gt;""),0),0)),C238)</f>
        <v>BOS Triton</v>
      </c>
      <c r="V238" s="122">
        <f t="shared" si="22"/>
        <v>0.73573966710304839</v>
      </c>
      <c r="W238" s="122">
        <v>18000</v>
      </c>
      <c r="X238" s="122"/>
      <c r="Y238" s="122">
        <f t="shared" si="21"/>
        <v>15736</v>
      </c>
      <c r="Z238" s="123"/>
    </row>
    <row r="239" spans="1:26" ht="25" customHeight="1" outlineLevel="1" x14ac:dyDescent="0.35">
      <c r="B239" s="151"/>
      <c r="C239" s="151"/>
      <c r="D239" s="151"/>
      <c r="E239" s="3" t="s">
        <v>13</v>
      </c>
      <c r="F239" s="31" t="s">
        <v>21</v>
      </c>
      <c r="G239" s="35"/>
      <c r="H239" s="57" t="str">
        <f t="shared" si="23"/>
        <v/>
      </c>
      <c r="I239" s="57" t="str">
        <f t="shared" si="24"/>
        <v/>
      </c>
      <c r="J239" s="58" t="str">
        <f t="shared" si="25"/>
        <v/>
      </c>
      <c r="K239" s="3"/>
      <c r="L239" s="42"/>
      <c r="U239" s="121" t="str" cm="1">
        <f t="array" ref="U239">IF(C239="",INDEX(C233:C239,MATCH(TRUE,INDEX((C233:C239&lt;&gt;""),0),0)),C239)</f>
        <v>BOS Triton</v>
      </c>
      <c r="V239" s="122">
        <f t="shared" si="22"/>
        <v>0.73573966710304839</v>
      </c>
      <c r="W239" s="122">
        <v>18000</v>
      </c>
      <c r="X239" s="122"/>
      <c r="Y239" s="122">
        <f t="shared" si="21"/>
        <v>15736</v>
      </c>
      <c r="Z239" s="123"/>
    </row>
    <row r="240" spans="1:26" ht="25" customHeight="1" outlineLevel="1" x14ac:dyDescent="0.35">
      <c r="B240" s="151"/>
      <c r="C240" s="151"/>
      <c r="D240" s="151"/>
      <c r="E240" s="3" t="s">
        <v>113</v>
      </c>
      <c r="F240" s="31" t="s">
        <v>21</v>
      </c>
      <c r="G240" s="35"/>
      <c r="H240" s="57" t="str">
        <f t="shared" si="23"/>
        <v/>
      </c>
      <c r="I240" s="57" t="str">
        <f t="shared" si="24"/>
        <v/>
      </c>
      <c r="J240" s="58" t="str">
        <f t="shared" si="25"/>
        <v/>
      </c>
      <c r="K240" s="3"/>
      <c r="L240" s="42"/>
      <c r="U240" s="121" t="str" cm="1">
        <f t="array" ref="U240">IF(C240="",INDEX(C234:C240,MATCH(TRUE,INDEX((C234:C240&lt;&gt;""),0),0)),C240)</f>
        <v>BOS Triton</v>
      </c>
      <c r="V240" s="122">
        <f t="shared" si="22"/>
        <v>0.73573966710304839</v>
      </c>
      <c r="W240" s="122">
        <v>18000</v>
      </c>
      <c r="X240" s="122"/>
      <c r="Y240" s="122">
        <f t="shared" si="21"/>
        <v>15736</v>
      </c>
      <c r="Z240" s="123"/>
    </row>
    <row r="241" spans="1:26" ht="25" customHeight="1" outlineLevel="1" x14ac:dyDescent="0.35">
      <c r="B241" s="151"/>
      <c r="C241" s="151"/>
      <c r="D241" s="151"/>
      <c r="E241" s="3" t="s">
        <v>112</v>
      </c>
      <c r="F241" s="31" t="s">
        <v>21</v>
      </c>
      <c r="G241" s="35"/>
      <c r="H241" s="57" t="str">
        <f t="shared" si="23"/>
        <v/>
      </c>
      <c r="I241" s="57" t="str">
        <f t="shared" si="24"/>
        <v/>
      </c>
      <c r="J241" s="58" t="str">
        <f t="shared" si="25"/>
        <v/>
      </c>
      <c r="K241" s="3"/>
      <c r="L241" s="42"/>
      <c r="U241" s="121" t="str" cm="1">
        <f t="array" ref="U241">IF(C241="",INDEX(C235:C241,MATCH(TRUE,INDEX((C235:C241&lt;&gt;""),0),0)),C241)</f>
        <v>BOS Triton</v>
      </c>
      <c r="V241" s="122">
        <f t="shared" si="22"/>
        <v>0.73573966710304839</v>
      </c>
      <c r="W241" s="122">
        <v>18000</v>
      </c>
      <c r="X241" s="122"/>
      <c r="Y241" s="122">
        <f t="shared" si="21"/>
        <v>15736</v>
      </c>
      <c r="Z241" s="123"/>
    </row>
    <row r="242" spans="1:26" ht="25" customHeight="1" outlineLevel="1" x14ac:dyDescent="0.35">
      <c r="B242" s="151"/>
      <c r="C242" s="151"/>
      <c r="D242" s="151"/>
      <c r="E242" s="3" t="s">
        <v>109</v>
      </c>
      <c r="F242" s="31" t="s">
        <v>21</v>
      </c>
      <c r="G242" s="35"/>
      <c r="H242" s="57" t="str">
        <f t="shared" si="23"/>
        <v/>
      </c>
      <c r="I242" s="57" t="str">
        <f t="shared" si="24"/>
        <v/>
      </c>
      <c r="J242" s="58" t="str">
        <f t="shared" si="25"/>
        <v/>
      </c>
      <c r="K242" s="3"/>
      <c r="L242" s="42"/>
      <c r="U242" s="121" t="str" cm="1">
        <f t="array" ref="U242">IF(C242="",INDEX(C236:C242,MATCH(TRUE,INDEX((C236:C242&lt;&gt;""),0),0)),C242)</f>
        <v>BOS Triton</v>
      </c>
      <c r="V242" s="122">
        <f t="shared" si="22"/>
        <v>0.73573966710304839</v>
      </c>
      <c r="W242" s="122">
        <v>18000</v>
      </c>
      <c r="X242" s="122"/>
      <c r="Y242" s="122">
        <f t="shared" si="21"/>
        <v>15736</v>
      </c>
      <c r="Z242" s="123"/>
    </row>
    <row r="243" spans="1:26" ht="25" customHeight="1" outlineLevel="1" x14ac:dyDescent="0.35">
      <c r="B243" s="152"/>
      <c r="C243" s="152"/>
      <c r="D243" s="152"/>
      <c r="E243" s="4" t="s">
        <v>14</v>
      </c>
      <c r="F243" s="31" t="s">
        <v>21</v>
      </c>
      <c r="G243" s="39"/>
      <c r="H243" s="65" t="str">
        <f t="shared" si="23"/>
        <v/>
      </c>
      <c r="I243" s="65" t="str">
        <f t="shared" si="24"/>
        <v/>
      </c>
      <c r="J243" s="66" t="str">
        <f t="shared" si="25"/>
        <v/>
      </c>
      <c r="K243" s="4"/>
      <c r="L243" s="43"/>
      <c r="U243" s="121" t="str" cm="1">
        <f t="array" ref="U243">IF(C243="",INDEX(C237:C243,MATCH(TRUE,INDEX((C237:C243&lt;&gt;""),0),0)),C243)</f>
        <v>BOS Triton</v>
      </c>
      <c r="V243" s="122">
        <f t="shared" si="22"/>
        <v>0.73573966710304839</v>
      </c>
      <c r="W243" s="122">
        <v>18000</v>
      </c>
      <c r="X243" s="122"/>
      <c r="Y243" s="122">
        <f t="shared" si="21"/>
        <v>15736</v>
      </c>
      <c r="Z243" s="123"/>
    </row>
    <row r="244" spans="1:26" ht="30" customHeight="1" x14ac:dyDescent="0.35">
      <c r="A244" s="8" t="s">
        <v>136</v>
      </c>
      <c r="B244" s="153">
        <v>42</v>
      </c>
      <c r="C244" s="153" t="s">
        <v>68</v>
      </c>
      <c r="D244" s="153" t="s">
        <v>69</v>
      </c>
      <c r="E244" s="27" t="s">
        <v>105</v>
      </c>
      <c r="F244" s="32"/>
      <c r="G244" s="37"/>
      <c r="H244" s="61" t="str">
        <f t="shared" si="23"/>
        <v/>
      </c>
      <c r="I244" s="61" t="str">
        <f t="shared" si="24"/>
        <v/>
      </c>
      <c r="J244" s="62" t="str">
        <f t="shared" si="25"/>
        <v/>
      </c>
      <c r="K244" s="6"/>
      <c r="L244" s="44"/>
      <c r="U244" s="121" t="str" cm="1">
        <f t="array" ref="U244">IF(C244="",INDEX(C238:C244,MATCH(TRUE,INDEX((C238:C244&lt;&gt;""),0),0)),C244)</f>
        <v>Britoil Journey</v>
      </c>
      <c r="V244" s="122">
        <f t="shared" si="22"/>
        <v>1</v>
      </c>
      <c r="W244" s="124">
        <v>20000</v>
      </c>
      <c r="X244" s="122"/>
      <c r="Y244" s="122">
        <f t="shared" si="21"/>
        <v>21388</v>
      </c>
      <c r="Z244" s="123"/>
    </row>
    <row r="245" spans="1:26" ht="25" customHeight="1" outlineLevel="1" x14ac:dyDescent="0.35">
      <c r="B245" s="154"/>
      <c r="C245" s="154"/>
      <c r="D245" s="154"/>
      <c r="E245" s="6" t="s">
        <v>13</v>
      </c>
      <c r="F245" s="32" t="s">
        <v>17</v>
      </c>
      <c r="G245" s="37"/>
      <c r="H245" s="61">
        <f t="shared" si="23"/>
        <v>11000</v>
      </c>
      <c r="I245" s="61">
        <f t="shared" si="24"/>
        <v>3200</v>
      </c>
      <c r="J245" s="62">
        <f t="shared" si="25"/>
        <v>64</v>
      </c>
      <c r="K245" s="6"/>
      <c r="L245" s="45"/>
      <c r="U245" s="121" t="str" cm="1">
        <f t="array" ref="U245">IF(C245="",INDEX(C239:C245,MATCH(TRUE,INDEX((C239:C245&lt;&gt;""),0),0)),C245)</f>
        <v>Britoil Journey</v>
      </c>
      <c r="V245" s="122">
        <f t="shared" si="22"/>
        <v>1</v>
      </c>
      <c r="W245" s="124">
        <v>20000</v>
      </c>
      <c r="X245" s="122"/>
      <c r="Y245" s="122">
        <f t="shared" si="21"/>
        <v>21388</v>
      </c>
      <c r="Z245" s="123"/>
    </row>
    <row r="246" spans="1:26" ht="25" customHeight="1" outlineLevel="1" x14ac:dyDescent="0.35">
      <c r="B246" s="154"/>
      <c r="C246" s="154"/>
      <c r="D246" s="154"/>
      <c r="E246" s="6" t="s">
        <v>106</v>
      </c>
      <c r="F246" s="32" t="s">
        <v>17</v>
      </c>
      <c r="G246" s="37">
        <v>45733</v>
      </c>
      <c r="H246" s="61">
        <f t="shared" si="23"/>
        <v>0</v>
      </c>
      <c r="I246" s="61">
        <f t="shared" si="24"/>
        <v>4000</v>
      </c>
      <c r="J246" s="62">
        <f t="shared" si="25"/>
        <v>0</v>
      </c>
      <c r="K246" s="6"/>
      <c r="L246" s="45" t="s">
        <v>128</v>
      </c>
      <c r="U246" s="121" t="str" cm="1">
        <f t="array" ref="U246">IF(C246="",INDEX(C240:C246,MATCH(TRUE,INDEX((C240:C246&lt;&gt;""),0),0)),C246)</f>
        <v>Britoil Journey</v>
      </c>
      <c r="V246" s="122">
        <f t="shared" si="22"/>
        <v>1</v>
      </c>
      <c r="W246" s="124">
        <v>20000</v>
      </c>
      <c r="X246" s="122"/>
      <c r="Y246" s="122">
        <f t="shared" si="21"/>
        <v>21388</v>
      </c>
      <c r="Z246" s="123"/>
    </row>
    <row r="247" spans="1:26" ht="25" customHeight="1" outlineLevel="1" x14ac:dyDescent="0.35">
      <c r="B247" s="154"/>
      <c r="C247" s="154"/>
      <c r="D247" s="154"/>
      <c r="E247" s="6" t="s">
        <v>113</v>
      </c>
      <c r="F247" s="32" t="s">
        <v>17</v>
      </c>
      <c r="G247" s="37"/>
      <c r="H247" s="61">
        <f t="shared" si="23"/>
        <v>0</v>
      </c>
      <c r="I247" s="61">
        <f t="shared" si="24"/>
        <v>500</v>
      </c>
      <c r="J247" s="62">
        <f t="shared" si="25"/>
        <v>0</v>
      </c>
      <c r="K247" s="6"/>
      <c r="L247" s="45"/>
      <c r="U247" s="121" t="str" cm="1">
        <f t="array" ref="U247">IF(C247="",INDEX(C241:C247,MATCH(TRUE,INDEX((C241:C247&lt;&gt;""),0),0)),C247)</f>
        <v>Britoil Journey</v>
      </c>
      <c r="V247" s="122">
        <f t="shared" si="22"/>
        <v>1</v>
      </c>
      <c r="W247" s="124">
        <v>20000</v>
      </c>
      <c r="X247" s="122"/>
      <c r="Y247" s="122">
        <f t="shared" si="21"/>
        <v>21388</v>
      </c>
      <c r="Z247" s="123"/>
    </row>
    <row r="248" spans="1:26" ht="25" customHeight="1" outlineLevel="1" x14ac:dyDescent="0.35">
      <c r="B248" s="154"/>
      <c r="C248" s="154"/>
      <c r="D248" s="154"/>
      <c r="E248" s="6" t="s">
        <v>112</v>
      </c>
      <c r="F248" s="32" t="s">
        <v>17</v>
      </c>
      <c r="G248" s="37"/>
      <c r="H248" s="61">
        <f t="shared" si="23"/>
        <v>8000</v>
      </c>
      <c r="I248" s="61">
        <f t="shared" si="24"/>
        <v>1000</v>
      </c>
      <c r="J248" s="62">
        <f t="shared" si="25"/>
        <v>40</v>
      </c>
      <c r="K248" s="6"/>
      <c r="L248" s="45" t="s">
        <v>137</v>
      </c>
      <c r="U248" s="121" t="str" cm="1">
        <f t="array" ref="U248">IF(C248="",INDEX(C242:C248,MATCH(TRUE,INDEX((C242:C248&lt;&gt;""),0),0)),C248)</f>
        <v>Britoil Journey</v>
      </c>
      <c r="V248" s="122">
        <f t="shared" si="22"/>
        <v>1</v>
      </c>
      <c r="W248" s="124">
        <v>20000</v>
      </c>
      <c r="X248" s="122"/>
      <c r="Y248" s="122">
        <f t="shared" si="21"/>
        <v>21388</v>
      </c>
      <c r="Z248" s="123"/>
    </row>
    <row r="249" spans="1:26" ht="25" customHeight="1" outlineLevel="1" x14ac:dyDescent="0.35">
      <c r="B249" s="154"/>
      <c r="C249" s="154"/>
      <c r="D249" s="154"/>
      <c r="E249" s="6" t="s">
        <v>109</v>
      </c>
      <c r="F249" s="32" t="s">
        <v>17</v>
      </c>
      <c r="G249" s="37"/>
      <c r="H249" s="61">
        <f t="shared" si="23"/>
        <v>8300</v>
      </c>
      <c r="I249" s="61">
        <f t="shared" si="24"/>
        <v>1000</v>
      </c>
      <c r="J249" s="62">
        <f t="shared" si="25"/>
        <v>45</v>
      </c>
      <c r="K249" s="6"/>
      <c r="L249" s="45"/>
      <c r="U249" s="121" t="str" cm="1">
        <f t="array" ref="U249">IF(C249="",INDEX(C243:C249,MATCH(TRUE,INDEX((C243:C249&lt;&gt;""),0),0)),C249)</f>
        <v>Britoil Journey</v>
      </c>
      <c r="V249" s="122">
        <f t="shared" si="22"/>
        <v>1</v>
      </c>
      <c r="W249" s="124">
        <v>20000</v>
      </c>
      <c r="X249" s="122"/>
      <c r="Y249" s="122">
        <f t="shared" si="21"/>
        <v>21388</v>
      </c>
      <c r="Z249" s="123"/>
    </row>
    <row r="250" spans="1:26" ht="25" customHeight="1" outlineLevel="1" x14ac:dyDescent="0.35">
      <c r="B250" s="155"/>
      <c r="C250" s="155"/>
      <c r="D250" s="155"/>
      <c r="E250" s="7" t="s">
        <v>14</v>
      </c>
      <c r="F250" s="32" t="s">
        <v>21</v>
      </c>
      <c r="G250" s="37"/>
      <c r="H250" s="61" t="str">
        <f t="shared" si="23"/>
        <v/>
      </c>
      <c r="I250" s="61" t="str">
        <f t="shared" si="24"/>
        <v/>
      </c>
      <c r="J250" s="62" t="str">
        <f t="shared" si="25"/>
        <v/>
      </c>
      <c r="K250" s="6"/>
      <c r="L250" s="46"/>
      <c r="U250" s="121" t="str" cm="1">
        <f t="array" ref="U250">IF(C250="",INDEX(C244:C250,MATCH(TRUE,INDEX((C244:C250&lt;&gt;""),0),0)),C250)</f>
        <v>Britoil Journey</v>
      </c>
      <c r="V250" s="122">
        <f t="shared" si="22"/>
        <v>1</v>
      </c>
      <c r="W250" s="124">
        <v>20000</v>
      </c>
      <c r="X250" s="122"/>
      <c r="Y250" s="122">
        <f t="shared" si="21"/>
        <v>21388</v>
      </c>
      <c r="Z250" s="123"/>
    </row>
    <row r="251" spans="1:26" ht="30" customHeight="1" x14ac:dyDescent="0.35">
      <c r="A251" s="8" t="s">
        <v>136</v>
      </c>
      <c r="B251" s="150">
        <v>43</v>
      </c>
      <c r="C251" s="150" t="s">
        <v>70</v>
      </c>
      <c r="D251" s="150" t="s">
        <v>69</v>
      </c>
      <c r="E251" s="26" t="s">
        <v>105</v>
      </c>
      <c r="F251" s="31"/>
      <c r="G251" s="34"/>
      <c r="H251" s="55" t="str">
        <f t="shared" si="23"/>
        <v/>
      </c>
      <c r="I251" s="55" t="str">
        <f t="shared" si="24"/>
        <v/>
      </c>
      <c r="J251" s="56" t="str">
        <f t="shared" si="25"/>
        <v/>
      </c>
      <c r="K251" s="2"/>
      <c r="L251" s="41"/>
      <c r="U251" s="121" t="str" cm="1">
        <f t="array" ref="U251">IF(C251="",INDEX(C245:C251,MATCH(TRUE,INDEX((C245:C251&lt;&gt;""),0),0)),C251)</f>
        <v>Britoil Justice</v>
      </c>
      <c r="V251" s="122">
        <f t="shared" si="22"/>
        <v>1</v>
      </c>
      <c r="W251" s="124">
        <v>20000</v>
      </c>
      <c r="X251" s="122"/>
      <c r="Y251" s="122">
        <f t="shared" si="21"/>
        <v>21388</v>
      </c>
      <c r="Z251" s="123"/>
    </row>
    <row r="252" spans="1:26" ht="25" customHeight="1" outlineLevel="1" x14ac:dyDescent="0.35">
      <c r="B252" s="151"/>
      <c r="C252" s="151"/>
      <c r="D252" s="151"/>
      <c r="E252" s="3" t="s">
        <v>13</v>
      </c>
      <c r="F252" s="31" t="s">
        <v>17</v>
      </c>
      <c r="G252" s="35"/>
      <c r="H252" s="57">
        <f t="shared" si="23"/>
        <v>11000</v>
      </c>
      <c r="I252" s="57">
        <f t="shared" si="24"/>
        <v>3200</v>
      </c>
      <c r="J252" s="58">
        <f t="shared" si="25"/>
        <v>64</v>
      </c>
      <c r="K252" s="3"/>
      <c r="L252" s="42"/>
      <c r="U252" s="121" t="str" cm="1">
        <f t="array" ref="U252">IF(C252="",INDEX(C246:C252,MATCH(TRUE,INDEX((C246:C252&lt;&gt;""),0),0)),C252)</f>
        <v>Britoil Justice</v>
      </c>
      <c r="V252" s="122">
        <f t="shared" si="22"/>
        <v>1</v>
      </c>
      <c r="W252" s="124">
        <v>20000</v>
      </c>
      <c r="X252" s="122"/>
      <c r="Y252" s="122">
        <f t="shared" si="21"/>
        <v>21388</v>
      </c>
      <c r="Z252" s="123"/>
    </row>
    <row r="253" spans="1:26" ht="25" customHeight="1" outlineLevel="1" x14ac:dyDescent="0.35">
      <c r="B253" s="151"/>
      <c r="C253" s="151"/>
      <c r="D253" s="151"/>
      <c r="E253" s="3" t="s">
        <v>106</v>
      </c>
      <c r="F253" s="31" t="s">
        <v>17</v>
      </c>
      <c r="G253" s="35">
        <v>45733</v>
      </c>
      <c r="H253" s="57">
        <f t="shared" si="23"/>
        <v>0</v>
      </c>
      <c r="I253" s="57">
        <f t="shared" si="24"/>
        <v>4000</v>
      </c>
      <c r="J253" s="58">
        <f t="shared" si="25"/>
        <v>0</v>
      </c>
      <c r="K253" s="3"/>
      <c r="L253" s="42" t="s">
        <v>128</v>
      </c>
      <c r="U253" s="121" t="str" cm="1">
        <f t="array" ref="U253">IF(C253="",INDEX(C247:C253,MATCH(TRUE,INDEX((C247:C253&lt;&gt;""),0),0)),C253)</f>
        <v>Britoil Justice</v>
      </c>
      <c r="V253" s="122">
        <f t="shared" si="22"/>
        <v>1</v>
      </c>
      <c r="W253" s="124">
        <v>20000</v>
      </c>
      <c r="X253" s="122"/>
      <c r="Y253" s="122">
        <f t="shared" si="21"/>
        <v>21388</v>
      </c>
      <c r="Z253" s="123"/>
    </row>
    <row r="254" spans="1:26" ht="25" customHeight="1" outlineLevel="1" x14ac:dyDescent="0.35">
      <c r="B254" s="151"/>
      <c r="C254" s="151"/>
      <c r="D254" s="151"/>
      <c r="E254" s="3" t="s">
        <v>113</v>
      </c>
      <c r="F254" s="31" t="s">
        <v>17</v>
      </c>
      <c r="G254" s="35"/>
      <c r="H254" s="57">
        <f t="shared" si="23"/>
        <v>0</v>
      </c>
      <c r="I254" s="57">
        <f t="shared" si="24"/>
        <v>500</v>
      </c>
      <c r="J254" s="58">
        <f t="shared" si="25"/>
        <v>0</v>
      </c>
      <c r="K254" s="3"/>
      <c r="L254" s="42"/>
      <c r="U254" s="121" t="str" cm="1">
        <f t="array" ref="U254">IF(C254="",INDEX(C248:C254,MATCH(TRUE,INDEX((C248:C254&lt;&gt;""),0),0)),C254)</f>
        <v>Britoil Justice</v>
      </c>
      <c r="V254" s="122">
        <f t="shared" si="22"/>
        <v>1</v>
      </c>
      <c r="W254" s="124">
        <v>20000</v>
      </c>
      <c r="X254" s="122"/>
      <c r="Y254" s="122">
        <f t="shared" si="21"/>
        <v>21388</v>
      </c>
      <c r="Z254" s="123"/>
    </row>
    <row r="255" spans="1:26" ht="25" customHeight="1" outlineLevel="1" x14ac:dyDescent="0.35">
      <c r="B255" s="151"/>
      <c r="C255" s="151"/>
      <c r="D255" s="151"/>
      <c r="E255" s="3" t="s">
        <v>112</v>
      </c>
      <c r="F255" s="31" t="s">
        <v>17</v>
      </c>
      <c r="G255" s="35"/>
      <c r="H255" s="57">
        <f t="shared" si="23"/>
        <v>8000</v>
      </c>
      <c r="I255" s="57">
        <f t="shared" si="24"/>
        <v>1000</v>
      </c>
      <c r="J255" s="58">
        <f t="shared" si="25"/>
        <v>40</v>
      </c>
      <c r="K255" s="3"/>
      <c r="L255" s="42" t="s">
        <v>137</v>
      </c>
      <c r="U255" s="121" t="str" cm="1">
        <f t="array" ref="U255">IF(C255="",INDEX(C249:C255,MATCH(TRUE,INDEX((C249:C255&lt;&gt;""),0),0)),C255)</f>
        <v>Britoil Justice</v>
      </c>
      <c r="V255" s="122">
        <f t="shared" si="22"/>
        <v>1</v>
      </c>
      <c r="W255" s="124">
        <v>20000</v>
      </c>
      <c r="X255" s="122"/>
      <c r="Y255" s="122">
        <f t="shared" si="21"/>
        <v>21388</v>
      </c>
      <c r="Z255" s="123"/>
    </row>
    <row r="256" spans="1:26" ht="25" customHeight="1" outlineLevel="1" x14ac:dyDescent="0.35">
      <c r="B256" s="151"/>
      <c r="C256" s="151"/>
      <c r="D256" s="151"/>
      <c r="E256" s="3" t="s">
        <v>109</v>
      </c>
      <c r="F256" s="31" t="s">
        <v>21</v>
      </c>
      <c r="G256" s="35"/>
      <c r="H256" s="57" t="str">
        <f t="shared" si="23"/>
        <v/>
      </c>
      <c r="I256" s="57" t="str">
        <f t="shared" si="24"/>
        <v/>
      </c>
      <c r="J256" s="58" t="str">
        <f t="shared" si="25"/>
        <v/>
      </c>
      <c r="K256" s="3"/>
      <c r="L256" s="42"/>
      <c r="U256" s="121" t="str" cm="1">
        <f t="array" ref="U256">IF(C256="",INDEX(C250:C256,MATCH(TRUE,INDEX((C250:C256&lt;&gt;""),0),0)),C256)</f>
        <v>Britoil Justice</v>
      </c>
      <c r="V256" s="122">
        <f t="shared" si="22"/>
        <v>1</v>
      </c>
      <c r="W256" s="124">
        <v>20000</v>
      </c>
      <c r="X256" s="122"/>
      <c r="Y256" s="122">
        <f t="shared" si="21"/>
        <v>21388</v>
      </c>
      <c r="Z256" s="123"/>
    </row>
    <row r="257" spans="1:26" ht="25" customHeight="1" outlineLevel="1" x14ac:dyDescent="0.35">
      <c r="B257" s="152"/>
      <c r="C257" s="152"/>
      <c r="D257" s="152"/>
      <c r="E257" s="4" t="s">
        <v>14</v>
      </c>
      <c r="F257" s="31" t="s">
        <v>108</v>
      </c>
      <c r="G257" s="39"/>
      <c r="H257" s="65" t="str">
        <f t="shared" si="23"/>
        <v/>
      </c>
      <c r="I257" s="65" t="str">
        <f t="shared" si="24"/>
        <v/>
      </c>
      <c r="J257" s="66" t="str">
        <f t="shared" si="25"/>
        <v/>
      </c>
      <c r="K257" s="4"/>
      <c r="L257" s="43"/>
      <c r="U257" s="121" t="str" cm="1">
        <f t="array" ref="U257">IF(C257="",INDEX(C251:C257,MATCH(TRUE,INDEX((C251:C257&lt;&gt;""),0),0)),C257)</f>
        <v>Britoil Justice</v>
      </c>
      <c r="V257" s="122">
        <f t="shared" si="22"/>
        <v>1</v>
      </c>
      <c r="W257" s="124">
        <v>20000</v>
      </c>
      <c r="X257" s="122"/>
      <c r="Y257" s="122">
        <f t="shared" si="21"/>
        <v>21388</v>
      </c>
      <c r="Z257" s="123"/>
    </row>
    <row r="258" spans="1:26" ht="30" customHeight="1" x14ac:dyDescent="0.35">
      <c r="A258" s="8" t="s">
        <v>136</v>
      </c>
      <c r="B258" s="153">
        <v>44</v>
      </c>
      <c r="C258" s="153" t="s">
        <v>71</v>
      </c>
      <c r="D258" s="153" t="s">
        <v>72</v>
      </c>
      <c r="E258" s="27" t="s">
        <v>105</v>
      </c>
      <c r="F258" s="32"/>
      <c r="G258" s="37"/>
      <c r="H258" s="61" t="str">
        <f t="shared" si="23"/>
        <v/>
      </c>
      <c r="I258" s="61" t="str">
        <f t="shared" si="24"/>
        <v/>
      </c>
      <c r="J258" s="62" t="str">
        <f t="shared" si="25"/>
        <v/>
      </c>
      <c r="K258" s="6"/>
      <c r="L258" s="44"/>
      <c r="U258" s="121" t="str" cm="1">
        <f t="array" ref="U258">IF(C258="",INDEX(C252:C258,MATCH(TRUE,INDEX((C252:C258&lt;&gt;""),0),0)),C258)</f>
        <v>BOS Pride</v>
      </c>
      <c r="V258" s="122">
        <f t="shared" si="22"/>
        <v>1.1428838601084721</v>
      </c>
      <c r="W258" s="124">
        <v>25000</v>
      </c>
      <c r="X258" s="122"/>
      <c r="Y258" s="122">
        <f t="shared" si="21"/>
        <v>24444</v>
      </c>
      <c r="Z258" s="123"/>
    </row>
    <row r="259" spans="1:26" ht="25" customHeight="1" outlineLevel="1" x14ac:dyDescent="0.35">
      <c r="B259" s="154"/>
      <c r="C259" s="154"/>
      <c r="D259" s="154"/>
      <c r="E259" s="6" t="s">
        <v>13</v>
      </c>
      <c r="F259" s="32" t="s">
        <v>17</v>
      </c>
      <c r="G259" s="37"/>
      <c r="H259" s="61">
        <f t="shared" si="23"/>
        <v>12571.722461193192</v>
      </c>
      <c r="I259" s="61">
        <f t="shared" si="24"/>
        <v>3657.2283523471106</v>
      </c>
      <c r="J259" s="62">
        <f t="shared" si="25"/>
        <v>73.144567046942214</v>
      </c>
      <c r="K259" s="6"/>
      <c r="L259" s="45"/>
      <c r="U259" s="121" t="str" cm="1">
        <f t="array" ref="U259">IF(C259="",INDEX(C253:C259,MATCH(TRUE,INDEX((C253:C259&lt;&gt;""),0),0)),C259)</f>
        <v>BOS Pride</v>
      </c>
      <c r="V259" s="122">
        <f t="shared" si="22"/>
        <v>1.1428838601084721</v>
      </c>
      <c r="W259" s="124">
        <v>25000</v>
      </c>
      <c r="X259" s="122"/>
      <c r="Y259" s="122">
        <f t="shared" si="21"/>
        <v>24444</v>
      </c>
      <c r="Z259" s="123"/>
    </row>
    <row r="260" spans="1:26" ht="25" customHeight="1" outlineLevel="1" x14ac:dyDescent="0.35">
      <c r="B260" s="154"/>
      <c r="C260" s="154"/>
      <c r="D260" s="154"/>
      <c r="E260" s="6" t="s">
        <v>106</v>
      </c>
      <c r="F260" s="32" t="s">
        <v>32</v>
      </c>
      <c r="G260" s="37"/>
      <c r="H260" s="61" t="str">
        <f t="shared" si="23"/>
        <v/>
      </c>
      <c r="I260" s="61" t="str">
        <f t="shared" si="24"/>
        <v/>
      </c>
      <c r="J260" s="62" t="str">
        <f t="shared" si="25"/>
        <v/>
      </c>
      <c r="K260" s="6"/>
      <c r="L260" s="45"/>
      <c r="U260" s="121" t="str" cm="1">
        <f t="array" ref="U260">IF(C260="",INDEX(C254:C260,MATCH(TRUE,INDEX((C254:C260&lt;&gt;""),0),0)),C260)</f>
        <v>BOS Pride</v>
      </c>
      <c r="V260" s="122">
        <f t="shared" si="22"/>
        <v>1.1428838601084721</v>
      </c>
      <c r="W260" s="124">
        <v>25000</v>
      </c>
      <c r="X260" s="122"/>
      <c r="Y260" s="122">
        <f t="shared" si="21"/>
        <v>24444</v>
      </c>
      <c r="Z260" s="123"/>
    </row>
    <row r="261" spans="1:26" ht="25" customHeight="1" outlineLevel="1" x14ac:dyDescent="0.35">
      <c r="B261" s="154"/>
      <c r="C261" s="154"/>
      <c r="D261" s="154"/>
      <c r="E261" s="6" t="s">
        <v>109</v>
      </c>
      <c r="F261" s="32" t="s">
        <v>17</v>
      </c>
      <c r="G261" s="37"/>
      <c r="H261" s="61">
        <f t="shared" si="23"/>
        <v>9485.9360389003177</v>
      </c>
      <c r="I261" s="61">
        <f t="shared" si="24"/>
        <v>1142.8838601084722</v>
      </c>
      <c r="J261" s="62">
        <f t="shared" si="25"/>
        <v>51.429773704881242</v>
      </c>
      <c r="K261" s="6"/>
      <c r="L261" s="45"/>
      <c r="U261" s="121" t="str" cm="1">
        <f t="array" ref="U261">IF(C261="",INDEX(C255:C261,MATCH(TRUE,INDEX((C255:C261&lt;&gt;""),0),0)),C261)</f>
        <v>BOS Pride</v>
      </c>
      <c r="V261" s="122">
        <f t="shared" si="22"/>
        <v>1.1428838601084721</v>
      </c>
      <c r="W261" s="124">
        <v>25000</v>
      </c>
      <c r="X261" s="122"/>
      <c r="Y261" s="122">
        <f t="shared" si="21"/>
        <v>24444</v>
      </c>
      <c r="Z261" s="123"/>
    </row>
    <row r="262" spans="1:26" ht="25" customHeight="1" outlineLevel="1" x14ac:dyDescent="0.35">
      <c r="B262" s="154"/>
      <c r="C262" s="154"/>
      <c r="D262" s="154"/>
      <c r="E262" s="6" t="s">
        <v>112</v>
      </c>
      <c r="F262" s="32" t="s">
        <v>21</v>
      </c>
      <c r="G262" s="37"/>
      <c r="H262" s="61" t="str">
        <f t="shared" si="23"/>
        <v/>
      </c>
      <c r="I262" s="61" t="str">
        <f t="shared" si="24"/>
        <v/>
      </c>
      <c r="J262" s="62" t="str">
        <f t="shared" si="25"/>
        <v/>
      </c>
      <c r="K262" s="6"/>
      <c r="L262" s="45" t="s">
        <v>173</v>
      </c>
      <c r="U262" s="121" t="str" cm="1">
        <f t="array" ref="U262">IF(C262="",INDEX(C256:C262,MATCH(TRUE,INDEX((C256:C262&lt;&gt;""),0),0)),C262)</f>
        <v>BOS Pride</v>
      </c>
      <c r="V262" s="122">
        <f t="shared" si="22"/>
        <v>1.1428838601084721</v>
      </c>
      <c r="W262" s="124">
        <v>25000</v>
      </c>
      <c r="X262" s="122"/>
      <c r="Y262" s="122">
        <f t="shared" si="21"/>
        <v>24444</v>
      </c>
      <c r="Z262" s="123"/>
    </row>
    <row r="263" spans="1:26" ht="25" customHeight="1" outlineLevel="1" x14ac:dyDescent="0.35">
      <c r="B263" s="154"/>
      <c r="C263" s="154"/>
      <c r="D263" s="154"/>
      <c r="E263" s="6" t="s">
        <v>295</v>
      </c>
      <c r="F263" s="32" t="s">
        <v>21</v>
      </c>
      <c r="G263" s="37"/>
      <c r="H263" s="61"/>
      <c r="I263" s="61"/>
      <c r="J263" s="62"/>
      <c r="K263" s="6"/>
      <c r="L263" s="45"/>
      <c r="U263" s="121"/>
      <c r="V263" s="122"/>
      <c r="W263" s="124"/>
      <c r="X263" s="122"/>
      <c r="Y263" s="122"/>
      <c r="Z263" s="123"/>
    </row>
    <row r="264" spans="1:26" ht="25" customHeight="1" outlineLevel="1" x14ac:dyDescent="0.35">
      <c r="B264" s="154"/>
      <c r="C264" s="154"/>
      <c r="D264" s="154"/>
      <c r="E264" s="6" t="s">
        <v>113</v>
      </c>
      <c r="F264" s="32" t="s">
        <v>17</v>
      </c>
      <c r="G264" s="37"/>
      <c r="H264" s="61">
        <f t="shared" si="23"/>
        <v>0</v>
      </c>
      <c r="I264" s="61">
        <f t="shared" si="24"/>
        <v>571.44193005423608</v>
      </c>
      <c r="J264" s="62">
        <f t="shared" si="25"/>
        <v>0</v>
      </c>
      <c r="K264" s="6"/>
      <c r="L264" s="45"/>
      <c r="U264" s="121" t="str" cm="1">
        <f t="array" ref="U264">IF(C264="",INDEX(C257:C264,MATCH(TRUE,INDEX((C257:C264&lt;&gt;""),0),0)),C264)</f>
        <v>BOS Pride</v>
      </c>
      <c r="V264" s="122">
        <f t="shared" si="22"/>
        <v>1.1428838601084721</v>
      </c>
      <c r="W264" s="124">
        <v>25000</v>
      </c>
      <c r="X264" s="122"/>
      <c r="Y264" s="122">
        <f t="shared" si="21"/>
        <v>24444</v>
      </c>
      <c r="Z264" s="123"/>
    </row>
    <row r="265" spans="1:26" ht="25" customHeight="1" outlineLevel="1" x14ac:dyDescent="0.35">
      <c r="B265" s="155"/>
      <c r="C265" s="155"/>
      <c r="D265" s="155"/>
      <c r="E265" s="7" t="s">
        <v>14</v>
      </c>
      <c r="F265" s="32" t="s">
        <v>17</v>
      </c>
      <c r="G265" s="37"/>
      <c r="H265" s="61">
        <f t="shared" si="23"/>
        <v>2857.2096502711802</v>
      </c>
      <c r="I265" s="61">
        <f t="shared" si="24"/>
        <v>3657.2283523471106</v>
      </c>
      <c r="J265" s="62">
        <f t="shared" si="25"/>
        <v>12.571722461193193</v>
      </c>
      <c r="K265" s="6"/>
      <c r="L265" s="46"/>
      <c r="U265" s="121" t="str" cm="1">
        <f t="array" ref="U265">IF(C265="",INDEX(C258:C265,MATCH(TRUE,INDEX((C258:C265&lt;&gt;""),0),0)),C265)</f>
        <v>BOS Pride</v>
      </c>
      <c r="V265" s="122">
        <f t="shared" si="22"/>
        <v>1.1428838601084721</v>
      </c>
      <c r="W265" s="124">
        <v>25000</v>
      </c>
      <c r="X265" s="122"/>
      <c r="Y265" s="122">
        <f t="shared" si="21"/>
        <v>24444</v>
      </c>
      <c r="Z265" s="123"/>
    </row>
    <row r="266" spans="1:26" ht="30" customHeight="1" x14ac:dyDescent="0.35">
      <c r="A266" s="8" t="s">
        <v>136</v>
      </c>
      <c r="B266" s="150">
        <v>45</v>
      </c>
      <c r="C266" s="150" t="s">
        <v>73</v>
      </c>
      <c r="D266" s="150" t="s">
        <v>72</v>
      </c>
      <c r="E266" s="26" t="s">
        <v>105</v>
      </c>
      <c r="F266" s="31"/>
      <c r="G266" s="34"/>
      <c r="H266" s="55" t="str">
        <f t="shared" si="23"/>
        <v/>
      </c>
      <c r="I266" s="55" t="str">
        <f t="shared" si="24"/>
        <v/>
      </c>
      <c r="J266" s="56" t="str">
        <f t="shared" si="25"/>
        <v/>
      </c>
      <c r="K266" s="2"/>
      <c r="L266" s="41"/>
      <c r="U266" s="121" t="str" cm="1">
        <f t="array" ref="U266">IF(C266="",INDEX(C259:C266,MATCH(TRUE,INDEX((C259:C266&lt;&gt;""),0),0)),C266)</f>
        <v>BOS Princess</v>
      </c>
      <c r="V266" s="122">
        <f t="shared" si="22"/>
        <v>1</v>
      </c>
      <c r="W266" s="124">
        <v>20000</v>
      </c>
      <c r="X266" s="122"/>
      <c r="Y266" s="122">
        <f t="shared" si="21"/>
        <v>21388</v>
      </c>
      <c r="Z266" s="123"/>
    </row>
    <row r="267" spans="1:26" ht="30" customHeight="1" outlineLevel="1" x14ac:dyDescent="0.35">
      <c r="B267" s="151"/>
      <c r="C267" s="151"/>
      <c r="D267" s="151"/>
      <c r="E267" s="3" t="s">
        <v>194</v>
      </c>
      <c r="F267" s="31" t="s">
        <v>17</v>
      </c>
      <c r="G267" s="35"/>
      <c r="H267" s="57">
        <v>10000</v>
      </c>
      <c r="I267" s="57">
        <v>5000</v>
      </c>
      <c r="J267" s="58">
        <v>100</v>
      </c>
      <c r="K267" s="3"/>
      <c r="L267" s="42"/>
      <c r="M267" s="8" t="s">
        <v>136</v>
      </c>
      <c r="U267" s="121" t="str" cm="1">
        <f t="array" ref="U267">IF(C267="",INDEX(C260:C267,MATCH(TRUE,INDEX((C260:C267&lt;&gt;""),0),0)),C267)</f>
        <v>BOS Princess</v>
      </c>
      <c r="V267" s="122">
        <f t="shared" si="22"/>
        <v>1</v>
      </c>
      <c r="W267" s="124">
        <v>20000</v>
      </c>
      <c r="X267" s="122"/>
      <c r="Y267" s="122">
        <f t="shared" ref="Y267:Y334" si="26">INT(VLOOKUP(U267, $AB$30:$AH$98, 7, FALSE))</f>
        <v>21388</v>
      </c>
      <c r="Z267" s="123"/>
    </row>
    <row r="268" spans="1:26" ht="25" customHeight="1" outlineLevel="1" x14ac:dyDescent="0.35">
      <c r="B268" s="151"/>
      <c r="C268" s="151"/>
      <c r="D268" s="151"/>
      <c r="E268" s="3" t="s">
        <v>13</v>
      </c>
      <c r="F268" s="31" t="s">
        <v>17</v>
      </c>
      <c r="G268" s="35"/>
      <c r="H268" s="57">
        <f t="shared" si="23"/>
        <v>11000</v>
      </c>
      <c r="I268" s="57">
        <f t="shared" si="24"/>
        <v>3200</v>
      </c>
      <c r="J268" s="58">
        <f>IF(F268="Done", V268*VLOOKUP(E268, $AB$3:$AE$11, 4, FALSE), "")</f>
        <v>64</v>
      </c>
      <c r="K268" s="3"/>
      <c r="L268" s="42"/>
      <c r="U268" s="121" t="str" cm="1">
        <f t="array" ref="U268">IF(C268="",INDEX(C260:C268,MATCH(TRUE,INDEX((C260:C268&lt;&gt;""),0),0)),C268)</f>
        <v>BOS Princess</v>
      </c>
      <c r="V268" s="122">
        <f t="shared" ref="V268:V335" si="27">MIN(Y268/21388,1.3)</f>
        <v>1</v>
      </c>
      <c r="W268" s="124">
        <v>20000</v>
      </c>
      <c r="X268" s="122"/>
      <c r="Y268" s="122">
        <f t="shared" si="26"/>
        <v>21388</v>
      </c>
      <c r="Z268" s="123"/>
    </row>
    <row r="269" spans="1:26" ht="25" customHeight="1" outlineLevel="1" x14ac:dyDescent="0.35">
      <c r="B269" s="151"/>
      <c r="C269" s="151"/>
      <c r="D269" s="151"/>
      <c r="E269" s="3" t="s">
        <v>113</v>
      </c>
      <c r="F269" s="31" t="s">
        <v>21</v>
      </c>
      <c r="G269" s="35"/>
      <c r="H269" s="57" t="str">
        <f t="shared" si="23"/>
        <v/>
      </c>
      <c r="I269" s="57" t="str">
        <f t="shared" si="24"/>
        <v/>
      </c>
      <c r="J269" s="58" t="str">
        <f t="shared" si="25"/>
        <v/>
      </c>
      <c r="K269" s="3"/>
      <c r="L269" s="42"/>
      <c r="U269" s="121" t="str" cm="1">
        <f t="array" ref="U269">IF(C269="",INDEX(C261:C269,MATCH(TRUE,INDEX((C261:C269&lt;&gt;""),0),0)),C269)</f>
        <v>BOS Princess</v>
      </c>
      <c r="V269" s="122">
        <f t="shared" si="27"/>
        <v>1</v>
      </c>
      <c r="W269" s="124">
        <v>20000</v>
      </c>
      <c r="X269" s="122"/>
      <c r="Y269" s="122">
        <f t="shared" si="26"/>
        <v>21388</v>
      </c>
      <c r="Z269" s="123"/>
    </row>
    <row r="270" spans="1:26" ht="25" customHeight="1" outlineLevel="1" x14ac:dyDescent="0.35">
      <c r="B270" s="151"/>
      <c r="C270" s="151"/>
      <c r="D270" s="151"/>
      <c r="E270" s="3" t="s">
        <v>112</v>
      </c>
      <c r="F270" s="31" t="s">
        <v>21</v>
      </c>
      <c r="G270" s="35"/>
      <c r="H270" s="57" t="str">
        <f t="shared" si="23"/>
        <v/>
      </c>
      <c r="I270" s="57" t="str">
        <f t="shared" si="24"/>
        <v/>
      </c>
      <c r="J270" s="58" t="str">
        <f t="shared" si="25"/>
        <v/>
      </c>
      <c r="K270" s="3"/>
      <c r="L270" s="42"/>
      <c r="U270" s="121" t="str" cm="1">
        <f t="array" ref="U270">IF(C270="",INDEX(C262:C270,MATCH(TRUE,INDEX((C262:C270&lt;&gt;""),0),0)),C270)</f>
        <v>BOS Princess</v>
      </c>
      <c r="V270" s="122">
        <f t="shared" si="27"/>
        <v>1</v>
      </c>
      <c r="W270" s="124">
        <v>20000</v>
      </c>
      <c r="X270" s="122"/>
      <c r="Y270" s="122">
        <f t="shared" si="26"/>
        <v>21388</v>
      </c>
      <c r="Z270" s="123"/>
    </row>
    <row r="271" spans="1:26" ht="25" customHeight="1" outlineLevel="1" x14ac:dyDescent="0.35">
      <c r="B271" s="151"/>
      <c r="C271" s="151"/>
      <c r="D271" s="151"/>
      <c r="E271" s="3" t="s">
        <v>109</v>
      </c>
      <c r="F271" s="31" t="s">
        <v>21</v>
      </c>
      <c r="G271" s="35"/>
      <c r="H271" s="57" t="str">
        <f t="shared" si="23"/>
        <v/>
      </c>
      <c r="I271" s="57" t="str">
        <f t="shared" si="24"/>
        <v/>
      </c>
      <c r="J271" s="58" t="str">
        <f t="shared" si="25"/>
        <v/>
      </c>
      <c r="K271" s="3"/>
      <c r="L271" s="42"/>
      <c r="U271" s="121" t="str" cm="1">
        <f t="array" ref="U271">IF(C271="",INDEX(C264:C271,MATCH(TRUE,INDEX((C264:C271&lt;&gt;""),0),0)),C271)</f>
        <v>BOS Princess</v>
      </c>
      <c r="V271" s="122">
        <f t="shared" si="27"/>
        <v>1</v>
      </c>
      <c r="W271" s="124">
        <v>20000</v>
      </c>
      <c r="X271" s="122"/>
      <c r="Y271" s="122">
        <f t="shared" si="26"/>
        <v>21388</v>
      </c>
      <c r="Z271" s="123"/>
    </row>
    <row r="272" spans="1:26" ht="25" customHeight="1" outlineLevel="1" x14ac:dyDescent="0.35">
      <c r="B272" s="152"/>
      <c r="C272" s="152"/>
      <c r="D272" s="152"/>
      <c r="E272" s="4" t="s">
        <v>14</v>
      </c>
      <c r="F272" s="31" t="s">
        <v>17</v>
      </c>
      <c r="G272" s="39"/>
      <c r="H272" s="65">
        <f t="shared" si="23"/>
        <v>2500</v>
      </c>
      <c r="I272" s="65">
        <f t="shared" si="24"/>
        <v>3200</v>
      </c>
      <c r="J272" s="66">
        <f t="shared" si="25"/>
        <v>11</v>
      </c>
      <c r="K272" s="4"/>
      <c r="L272" s="43"/>
      <c r="U272" s="121" t="str" cm="1">
        <f t="array" ref="U272">IF(C272="",INDEX(C265:C272,MATCH(TRUE,INDEX((C265:C272&lt;&gt;""),0),0)),C272)</f>
        <v>BOS Princess</v>
      </c>
      <c r="V272" s="122">
        <f t="shared" si="27"/>
        <v>1</v>
      </c>
      <c r="W272" s="124">
        <v>20000</v>
      </c>
      <c r="X272" s="122"/>
      <c r="Y272" s="122">
        <f t="shared" si="26"/>
        <v>21388</v>
      </c>
      <c r="Z272" s="123"/>
    </row>
    <row r="273" spans="1:26" ht="30" customHeight="1" x14ac:dyDescent="0.35">
      <c r="A273" s="8" t="s">
        <v>136</v>
      </c>
      <c r="B273" s="153">
        <v>46</v>
      </c>
      <c r="C273" s="153" t="s">
        <v>74</v>
      </c>
      <c r="D273" s="153" t="s">
        <v>72</v>
      </c>
      <c r="E273" s="27" t="s">
        <v>105</v>
      </c>
      <c r="F273" s="32"/>
      <c r="G273" s="37"/>
      <c r="H273" s="61" t="str">
        <f t="shared" si="23"/>
        <v/>
      </c>
      <c r="I273" s="61" t="str">
        <f t="shared" si="24"/>
        <v/>
      </c>
      <c r="J273" s="62" t="str">
        <f t="shared" si="25"/>
        <v/>
      </c>
      <c r="K273" s="6"/>
      <c r="L273" s="44"/>
      <c r="U273" s="121" t="str" cm="1">
        <f t="array" ref="U273">IF(C273="",INDEX(C266:C273,MATCH(TRUE,INDEX((C266:C273&lt;&gt;""),0),0)),C273)</f>
        <v>BOS Pool</v>
      </c>
      <c r="V273" s="122">
        <f t="shared" si="27"/>
        <v>0.85716289508135401</v>
      </c>
      <c r="W273" s="124">
        <v>20000</v>
      </c>
      <c r="X273" s="122"/>
      <c r="Y273" s="122">
        <f t="shared" si="26"/>
        <v>18333</v>
      </c>
      <c r="Z273" s="123"/>
    </row>
    <row r="274" spans="1:26" ht="25" customHeight="1" outlineLevel="1" x14ac:dyDescent="0.35">
      <c r="B274" s="154"/>
      <c r="C274" s="154"/>
      <c r="D274" s="154"/>
      <c r="E274" s="6" t="s">
        <v>13</v>
      </c>
      <c r="F274" s="32" t="s">
        <v>21</v>
      </c>
      <c r="G274" s="37"/>
      <c r="H274" s="61" t="str">
        <f t="shared" si="23"/>
        <v/>
      </c>
      <c r="I274" s="61" t="str">
        <f t="shared" si="24"/>
        <v/>
      </c>
      <c r="J274" s="62" t="str">
        <f t="shared" si="25"/>
        <v/>
      </c>
      <c r="K274" s="6"/>
      <c r="L274" s="45" t="s">
        <v>156</v>
      </c>
      <c r="U274" s="121" t="str" cm="1">
        <f t="array" ref="U274">IF(C274="",INDEX(C268:C274,MATCH(TRUE,INDEX((C268:C274&lt;&gt;""),0),0)),C274)</f>
        <v>BOS Pool</v>
      </c>
      <c r="V274" s="122">
        <f t="shared" si="27"/>
        <v>0.85716289508135401</v>
      </c>
      <c r="W274" s="124">
        <v>20000</v>
      </c>
      <c r="X274" s="122"/>
      <c r="Y274" s="122">
        <f t="shared" si="26"/>
        <v>18333</v>
      </c>
      <c r="Z274" s="123"/>
    </row>
    <row r="275" spans="1:26" ht="25" customHeight="1" outlineLevel="1" x14ac:dyDescent="0.35">
      <c r="B275" s="154"/>
      <c r="C275" s="154"/>
      <c r="D275" s="154"/>
      <c r="E275" s="6" t="s">
        <v>113</v>
      </c>
      <c r="F275" s="32" t="s">
        <v>21</v>
      </c>
      <c r="G275" s="37"/>
      <c r="H275" s="61" t="str">
        <f t="shared" si="23"/>
        <v/>
      </c>
      <c r="I275" s="61" t="str">
        <f t="shared" si="24"/>
        <v/>
      </c>
      <c r="J275" s="62" t="str">
        <f t="shared" si="25"/>
        <v/>
      </c>
      <c r="K275" s="6"/>
      <c r="L275" s="45"/>
      <c r="U275" s="121" t="str" cm="1">
        <f t="array" ref="U275">IF(C275="",INDEX(C269:C275,MATCH(TRUE,INDEX((C269:C275&lt;&gt;""),0),0)),C275)</f>
        <v>BOS Pool</v>
      </c>
      <c r="V275" s="122">
        <f t="shared" si="27"/>
        <v>0.85716289508135401</v>
      </c>
      <c r="W275" s="124">
        <v>20000</v>
      </c>
      <c r="X275" s="122"/>
      <c r="Y275" s="122">
        <f t="shared" si="26"/>
        <v>18333</v>
      </c>
      <c r="Z275" s="123"/>
    </row>
    <row r="276" spans="1:26" ht="25" customHeight="1" outlineLevel="1" x14ac:dyDescent="0.35">
      <c r="B276" s="154"/>
      <c r="C276" s="154"/>
      <c r="D276" s="154"/>
      <c r="E276" s="6" t="s">
        <v>112</v>
      </c>
      <c r="F276" s="32" t="s">
        <v>21</v>
      </c>
      <c r="G276" s="37"/>
      <c r="H276" s="61" t="str">
        <f t="shared" si="23"/>
        <v/>
      </c>
      <c r="I276" s="61" t="str">
        <f t="shared" si="24"/>
        <v/>
      </c>
      <c r="J276" s="62" t="str">
        <f t="shared" si="25"/>
        <v/>
      </c>
      <c r="K276" s="6"/>
      <c r="L276" s="45" t="s">
        <v>157</v>
      </c>
      <c r="U276" s="121" t="str" cm="1">
        <f t="array" ref="U276">IF(C276="",INDEX(C270:C276,MATCH(TRUE,INDEX((C270:C276&lt;&gt;""),0),0)),C276)</f>
        <v>BOS Pool</v>
      </c>
      <c r="V276" s="122">
        <f t="shared" si="27"/>
        <v>0.85716289508135401</v>
      </c>
      <c r="W276" s="124">
        <v>20000</v>
      </c>
      <c r="X276" s="122"/>
      <c r="Y276" s="122">
        <f t="shared" si="26"/>
        <v>18333</v>
      </c>
      <c r="Z276" s="123"/>
    </row>
    <row r="277" spans="1:26" ht="25" customHeight="1" outlineLevel="1" x14ac:dyDescent="0.35">
      <c r="B277" s="154"/>
      <c r="C277" s="154"/>
      <c r="D277" s="154"/>
      <c r="E277" s="6" t="s">
        <v>109</v>
      </c>
      <c r="F277" s="32" t="s">
        <v>21</v>
      </c>
      <c r="G277" s="37"/>
      <c r="H277" s="61" t="str">
        <f t="shared" si="23"/>
        <v/>
      </c>
      <c r="I277" s="61" t="str">
        <f t="shared" si="24"/>
        <v/>
      </c>
      <c r="J277" s="62" t="str">
        <f t="shared" si="25"/>
        <v/>
      </c>
      <c r="K277" s="6"/>
      <c r="L277" s="45" t="s">
        <v>158</v>
      </c>
      <c r="U277" s="121" t="str" cm="1">
        <f t="array" ref="U277">IF(C277="",INDEX(C271:C277,MATCH(TRUE,INDEX((C271:C277&lt;&gt;""),0),0)),C277)</f>
        <v>BOS Pool</v>
      </c>
      <c r="V277" s="122">
        <f t="shared" si="27"/>
        <v>0.85716289508135401</v>
      </c>
      <c r="W277" s="124">
        <v>20000</v>
      </c>
      <c r="X277" s="122"/>
      <c r="Y277" s="122">
        <f t="shared" si="26"/>
        <v>18333</v>
      </c>
      <c r="Z277" s="123"/>
    </row>
    <row r="278" spans="1:26" ht="25" customHeight="1" outlineLevel="1" x14ac:dyDescent="0.35">
      <c r="B278" s="155"/>
      <c r="C278" s="155"/>
      <c r="D278" s="155"/>
      <c r="E278" s="7" t="s">
        <v>14</v>
      </c>
      <c r="F278" s="32" t="s">
        <v>21</v>
      </c>
      <c r="G278" s="37"/>
      <c r="H278" s="61" t="str">
        <f t="shared" si="23"/>
        <v/>
      </c>
      <c r="I278" s="61" t="str">
        <f t="shared" si="24"/>
        <v/>
      </c>
      <c r="J278" s="62" t="str">
        <f t="shared" si="25"/>
        <v/>
      </c>
      <c r="K278" s="6"/>
      <c r="L278" s="46"/>
      <c r="U278" s="121" t="str" cm="1">
        <f t="array" ref="U278">IF(C278="",INDEX(C272:C278,MATCH(TRUE,INDEX((C272:C278&lt;&gt;""),0),0)),C278)</f>
        <v>BOS Pool</v>
      </c>
      <c r="V278" s="122">
        <f t="shared" si="27"/>
        <v>0.85716289508135401</v>
      </c>
      <c r="W278" s="124">
        <v>20000</v>
      </c>
      <c r="X278" s="122"/>
      <c r="Y278" s="122">
        <f t="shared" si="26"/>
        <v>18333</v>
      </c>
      <c r="Z278" s="123"/>
    </row>
    <row r="279" spans="1:26" ht="30" customHeight="1" x14ac:dyDescent="0.35">
      <c r="A279" s="8" t="s">
        <v>136</v>
      </c>
      <c r="B279" s="150">
        <v>47</v>
      </c>
      <c r="C279" s="150" t="s">
        <v>75</v>
      </c>
      <c r="D279" s="150" t="s">
        <v>76</v>
      </c>
      <c r="E279" s="26" t="s">
        <v>105</v>
      </c>
      <c r="F279" s="31"/>
      <c r="G279" s="34"/>
      <c r="H279" s="55" t="str">
        <f t="shared" si="23"/>
        <v/>
      </c>
      <c r="I279" s="55" t="str">
        <f t="shared" si="24"/>
        <v/>
      </c>
      <c r="J279" s="56" t="str">
        <f t="shared" si="25"/>
        <v/>
      </c>
      <c r="K279" s="2"/>
      <c r="L279" s="41"/>
      <c r="U279" s="121" t="str" cm="1">
        <f t="array" ref="U279">IF(C279="",INDEX(C273:C279,MATCH(TRUE,INDEX((C273:C279&lt;&gt;""),0),0)),C279)</f>
        <v>BOS Base</v>
      </c>
      <c r="V279" s="122">
        <f t="shared" si="27"/>
        <v>0.85716289508135401</v>
      </c>
      <c r="W279" s="124">
        <v>20000</v>
      </c>
      <c r="X279" s="122"/>
      <c r="Y279" s="122">
        <f t="shared" si="26"/>
        <v>18333</v>
      </c>
      <c r="Z279" s="123"/>
    </row>
    <row r="280" spans="1:26" ht="25" customHeight="1" outlineLevel="1" x14ac:dyDescent="0.35">
      <c r="B280" s="151"/>
      <c r="C280" s="151"/>
      <c r="D280" s="151"/>
      <c r="E280" s="3" t="s">
        <v>13</v>
      </c>
      <c r="F280" s="31" t="s">
        <v>17</v>
      </c>
      <c r="G280" s="35"/>
      <c r="H280" s="57">
        <f t="shared" si="23"/>
        <v>9428.7918458948934</v>
      </c>
      <c r="I280" s="57">
        <f t="shared" si="24"/>
        <v>2742.9212642603329</v>
      </c>
      <c r="J280" s="58">
        <f t="shared" si="25"/>
        <v>54.858425285206657</v>
      </c>
      <c r="K280" s="3"/>
      <c r="L280" s="42"/>
      <c r="U280" s="121" t="str" cm="1">
        <f t="array" ref="U280">IF(C280="",INDEX(C274:C280,MATCH(TRUE,INDEX((C274:C280&lt;&gt;""),0),0)),C280)</f>
        <v>BOS Base</v>
      </c>
      <c r="V280" s="122">
        <f t="shared" si="27"/>
        <v>0.85716289508135401</v>
      </c>
      <c r="W280" s="124">
        <v>20000</v>
      </c>
      <c r="X280" s="122"/>
      <c r="Y280" s="122">
        <f t="shared" si="26"/>
        <v>18333</v>
      </c>
      <c r="Z280" s="123"/>
    </row>
    <row r="281" spans="1:26" ht="25" customHeight="1" outlineLevel="1" x14ac:dyDescent="0.35">
      <c r="B281" s="151"/>
      <c r="C281" s="151"/>
      <c r="D281" s="151"/>
      <c r="E281" s="3" t="s">
        <v>112</v>
      </c>
      <c r="F281" s="31" t="s">
        <v>21</v>
      </c>
      <c r="G281" s="35"/>
      <c r="H281" s="57" t="str">
        <f t="shared" si="23"/>
        <v/>
      </c>
      <c r="I281" s="57" t="str">
        <f t="shared" si="24"/>
        <v/>
      </c>
      <c r="J281" s="58" t="str">
        <f t="shared" si="25"/>
        <v/>
      </c>
      <c r="K281" s="3"/>
      <c r="L281" s="42"/>
      <c r="U281" s="121" t="str" cm="1">
        <f t="array" ref="U281">IF(C281="",INDEX(C275:C281,MATCH(TRUE,INDEX((C275:C281&lt;&gt;""),0),0)),C281)</f>
        <v>BOS Base</v>
      </c>
      <c r="V281" s="122">
        <f t="shared" si="27"/>
        <v>0.85716289508135401</v>
      </c>
      <c r="W281" s="124">
        <v>20000</v>
      </c>
      <c r="X281" s="122"/>
      <c r="Y281" s="122">
        <f t="shared" si="26"/>
        <v>18333</v>
      </c>
      <c r="Z281" s="123"/>
    </row>
    <row r="282" spans="1:26" ht="25" customHeight="1" outlineLevel="1" x14ac:dyDescent="0.35">
      <c r="B282" s="151"/>
      <c r="C282" s="151"/>
      <c r="D282" s="151"/>
      <c r="E282" s="3" t="s">
        <v>113</v>
      </c>
      <c r="F282" s="31" t="s">
        <v>21</v>
      </c>
      <c r="G282" s="35"/>
      <c r="H282" s="57" t="str">
        <f t="shared" si="23"/>
        <v/>
      </c>
      <c r="I282" s="57" t="str">
        <f t="shared" si="24"/>
        <v/>
      </c>
      <c r="J282" s="58" t="str">
        <f t="shared" si="25"/>
        <v/>
      </c>
      <c r="K282" s="3"/>
      <c r="L282" s="42"/>
      <c r="U282" s="121" t="str" cm="1">
        <f t="array" ref="U282">IF(C282="",INDEX(C276:C282,MATCH(TRUE,INDEX((C276:C282&lt;&gt;""),0),0)),C282)</f>
        <v>BOS Base</v>
      </c>
      <c r="V282" s="122">
        <f t="shared" si="27"/>
        <v>0.85716289508135401</v>
      </c>
      <c r="W282" s="124">
        <v>20000</v>
      </c>
      <c r="X282" s="122"/>
      <c r="Y282" s="122">
        <f t="shared" si="26"/>
        <v>18333</v>
      </c>
      <c r="Z282" s="123"/>
    </row>
    <row r="283" spans="1:26" ht="25" customHeight="1" outlineLevel="1" x14ac:dyDescent="0.35">
      <c r="B283" s="151"/>
      <c r="C283" s="151"/>
      <c r="D283" s="151"/>
      <c r="E283" s="3" t="s">
        <v>109</v>
      </c>
      <c r="F283" s="31" t="s">
        <v>21</v>
      </c>
      <c r="G283" s="35"/>
      <c r="H283" s="57" t="str">
        <f t="shared" si="23"/>
        <v/>
      </c>
      <c r="I283" s="57" t="str">
        <f t="shared" si="24"/>
        <v/>
      </c>
      <c r="J283" s="58" t="str">
        <f t="shared" si="25"/>
        <v/>
      </c>
      <c r="K283" s="3"/>
      <c r="L283" s="42"/>
      <c r="U283" s="121" t="str" cm="1">
        <f t="array" ref="U283">IF(C283="",INDEX(C277:C283,MATCH(TRUE,INDEX((C277:C283&lt;&gt;""),0),0)),C283)</f>
        <v>BOS Base</v>
      </c>
      <c r="V283" s="122">
        <f t="shared" si="27"/>
        <v>0.85716289508135401</v>
      </c>
      <c r="W283" s="124">
        <v>20000</v>
      </c>
      <c r="X283" s="122"/>
      <c r="Y283" s="122">
        <f t="shared" si="26"/>
        <v>18333</v>
      </c>
      <c r="Z283" s="123"/>
    </row>
    <row r="284" spans="1:26" ht="25" customHeight="1" outlineLevel="1" x14ac:dyDescent="0.35">
      <c r="B284" s="152"/>
      <c r="C284" s="152"/>
      <c r="D284" s="152"/>
      <c r="E284" s="4" t="s">
        <v>14</v>
      </c>
      <c r="F284" s="31" t="s">
        <v>21</v>
      </c>
      <c r="G284" s="39"/>
      <c r="H284" s="65" t="str">
        <f t="shared" ref="H284:H352" si="28">IF(F284="Done", V284*VLOOKUP(E284, $AB$3:$AC$11, 2, FALSE), "")</f>
        <v/>
      </c>
      <c r="I284" s="65" t="str">
        <f t="shared" ref="I284:I352" si="29">IF(F284="Done", V284*VLOOKUP(E284, $AB$3:$AD$11, 3, FALSE), "")</f>
        <v/>
      </c>
      <c r="J284" s="66" t="str">
        <f t="shared" ref="J284:J352" si="30">IF(F284="Done", V284*VLOOKUP(E284, $AB$3:$AE$11, 4, FALSE), "")</f>
        <v/>
      </c>
      <c r="K284" s="4"/>
      <c r="L284" s="43"/>
      <c r="U284" s="121" t="str" cm="1">
        <f t="array" ref="U284">IF(C284="",INDEX(C278:C284,MATCH(TRUE,INDEX((C278:C284&lt;&gt;""),0),0)),C284)</f>
        <v>BOS Base</v>
      </c>
      <c r="V284" s="122">
        <f t="shared" si="27"/>
        <v>0.85716289508135401</v>
      </c>
      <c r="W284" s="124">
        <v>20000</v>
      </c>
      <c r="X284" s="122"/>
      <c r="Y284" s="122">
        <f t="shared" si="26"/>
        <v>18333</v>
      </c>
      <c r="Z284" s="123"/>
    </row>
    <row r="285" spans="1:26" ht="30" customHeight="1" x14ac:dyDescent="0.35">
      <c r="A285" s="8" t="s">
        <v>136</v>
      </c>
      <c r="B285" s="153">
        <v>48</v>
      </c>
      <c r="C285" s="153" t="s">
        <v>77</v>
      </c>
      <c r="D285" s="153" t="s">
        <v>72</v>
      </c>
      <c r="E285" s="27" t="s">
        <v>105</v>
      </c>
      <c r="F285" s="32"/>
      <c r="G285" s="37"/>
      <c r="H285" s="61" t="str">
        <f t="shared" si="28"/>
        <v/>
      </c>
      <c r="I285" s="61" t="str">
        <f t="shared" si="29"/>
        <v/>
      </c>
      <c r="J285" s="62" t="str">
        <f t="shared" si="30"/>
        <v/>
      </c>
      <c r="K285" s="6"/>
      <c r="L285" s="44"/>
      <c r="U285" s="121" t="str" cm="1">
        <f t="array" ref="U285">IF(C285="",INDEX(C279:C285,MATCH(TRUE,INDEX((C279:C285&lt;&gt;""),0),0)),C285)</f>
        <v>BOS Patience</v>
      </c>
      <c r="V285" s="122">
        <f t="shared" si="27"/>
        <v>1.1714512810922013</v>
      </c>
      <c r="W285" s="124">
        <v>20000</v>
      </c>
      <c r="X285" s="122"/>
      <c r="Y285" s="122">
        <f t="shared" si="26"/>
        <v>25055</v>
      </c>
      <c r="Z285" s="123"/>
    </row>
    <row r="286" spans="1:26" ht="25" customHeight="1" outlineLevel="1" x14ac:dyDescent="0.35">
      <c r="B286" s="154"/>
      <c r="C286" s="154"/>
      <c r="D286" s="154"/>
      <c r="E286" s="6" t="s">
        <v>13</v>
      </c>
      <c r="F286" s="32" t="s">
        <v>17</v>
      </c>
      <c r="G286" s="37">
        <v>43101</v>
      </c>
      <c r="H286" s="61">
        <f t="shared" si="28"/>
        <v>12885.964092014214</v>
      </c>
      <c r="I286" s="61">
        <f t="shared" si="29"/>
        <v>3748.6440994950444</v>
      </c>
      <c r="J286" s="62">
        <f t="shared" si="30"/>
        <v>74.972881989900884</v>
      </c>
      <c r="K286" s="6"/>
      <c r="L286" s="45"/>
      <c r="U286" s="121" t="str" cm="1">
        <f t="array" ref="U286">IF(C286="",INDEX(C280:C286,MATCH(TRUE,INDEX((C280:C286&lt;&gt;""),0),0)),C286)</f>
        <v>BOS Patience</v>
      </c>
      <c r="V286" s="122">
        <f t="shared" si="27"/>
        <v>1.1714512810922013</v>
      </c>
      <c r="W286" s="124">
        <v>20000</v>
      </c>
      <c r="X286" s="122"/>
      <c r="Y286" s="122">
        <f t="shared" si="26"/>
        <v>25055</v>
      </c>
      <c r="Z286" s="123"/>
    </row>
    <row r="287" spans="1:26" ht="25" customHeight="1" outlineLevel="1" x14ac:dyDescent="0.35">
      <c r="B287" s="154"/>
      <c r="C287" s="154"/>
      <c r="D287" s="154"/>
      <c r="E287" s="6" t="s">
        <v>113</v>
      </c>
      <c r="F287" s="32" t="s">
        <v>21</v>
      </c>
      <c r="G287" s="37"/>
      <c r="H287" s="61" t="str">
        <f t="shared" si="28"/>
        <v/>
      </c>
      <c r="I287" s="61" t="str">
        <f t="shared" si="29"/>
        <v/>
      </c>
      <c r="J287" s="62" t="str">
        <f t="shared" si="30"/>
        <v/>
      </c>
      <c r="K287" s="6"/>
      <c r="L287" s="45"/>
      <c r="U287" s="121" t="str" cm="1">
        <f t="array" ref="U287">IF(C287="",INDEX(C281:C287,MATCH(TRUE,INDEX((C281:C287&lt;&gt;""),0),0)),C287)</f>
        <v>BOS Patience</v>
      </c>
      <c r="V287" s="122">
        <f t="shared" si="27"/>
        <v>1.1714512810922013</v>
      </c>
      <c r="W287" s="124">
        <v>20000</v>
      </c>
      <c r="X287" s="122"/>
      <c r="Y287" s="122">
        <f t="shared" si="26"/>
        <v>25055</v>
      </c>
      <c r="Z287" s="123"/>
    </row>
    <row r="288" spans="1:26" ht="25" customHeight="1" outlineLevel="1" x14ac:dyDescent="0.35">
      <c r="B288" s="154"/>
      <c r="C288" s="154"/>
      <c r="D288" s="154"/>
      <c r="E288" s="6" t="s">
        <v>112</v>
      </c>
      <c r="F288" s="32" t="s">
        <v>21</v>
      </c>
      <c r="G288" s="37">
        <v>43101</v>
      </c>
      <c r="H288" s="61" t="str">
        <f>IF(F288="Done", V288*VLOOKUP(E288, $AB$3:$AC$11, 2, FALSE), "")</f>
        <v/>
      </c>
      <c r="I288" s="61" t="str">
        <f>IF(F288="Done", V288*VLOOKUP(E288, $AB$3:$AD$11, 3, FALSE), "")</f>
        <v/>
      </c>
      <c r="J288" s="62" t="str">
        <f>IF(F288="Done", V288*VLOOKUP(E288, $AB$3:$AE$11, 4, FALSE), "")</f>
        <v/>
      </c>
      <c r="K288" s="6"/>
      <c r="L288" s="45" t="s">
        <v>163</v>
      </c>
      <c r="U288" s="121" t="str" cm="1">
        <f t="array" ref="U288">IF(C288="",INDEX(C282:C288,MATCH(TRUE,INDEX((C282:C288&lt;&gt;""),0),0)),C288)</f>
        <v>BOS Patience</v>
      </c>
      <c r="V288" s="122">
        <f t="shared" si="27"/>
        <v>1.1714512810922013</v>
      </c>
      <c r="W288" s="124">
        <v>20000</v>
      </c>
      <c r="X288" s="122"/>
      <c r="Y288" s="122">
        <f t="shared" si="26"/>
        <v>25055</v>
      </c>
      <c r="Z288" s="123"/>
    </row>
    <row r="289" spans="1:26" ht="25" customHeight="1" outlineLevel="1" x14ac:dyDescent="0.35">
      <c r="B289" s="154"/>
      <c r="C289" s="154"/>
      <c r="D289" s="154"/>
      <c r="E289" s="6" t="s">
        <v>295</v>
      </c>
      <c r="F289" s="32"/>
      <c r="G289" s="37"/>
      <c r="H289" s="61"/>
      <c r="I289" s="61"/>
      <c r="J289" s="62"/>
      <c r="K289" s="6"/>
      <c r="L289" s="45"/>
      <c r="U289" s="121"/>
      <c r="V289" s="122"/>
      <c r="W289" s="124"/>
      <c r="X289" s="122"/>
      <c r="Y289" s="122"/>
      <c r="Z289" s="123"/>
    </row>
    <row r="290" spans="1:26" ht="25" customHeight="1" outlineLevel="1" x14ac:dyDescent="0.35">
      <c r="B290" s="154"/>
      <c r="C290" s="154"/>
      <c r="D290" s="154"/>
      <c r="E290" s="6" t="s">
        <v>109</v>
      </c>
      <c r="F290" s="32" t="s">
        <v>17</v>
      </c>
      <c r="G290" s="37">
        <v>44562</v>
      </c>
      <c r="H290" s="61">
        <f>IF(F290="Done", V290*VLOOKUP(E290, $AB$3:$AC$11, 2, FALSE), "")</f>
        <v>9723.0456330652705</v>
      </c>
      <c r="I290" s="61">
        <f>IF(F290="Done", V290*VLOOKUP(E290, $AB$3:$AD$11, 3, FALSE), "")</f>
        <v>1171.4512810922013</v>
      </c>
      <c r="J290" s="62">
        <f>IF(F290="Done", V290*VLOOKUP(E290, $AB$3:$AE$11, 4, FALSE), "")</f>
        <v>52.715307649149061</v>
      </c>
      <c r="K290" s="6"/>
      <c r="L290" s="45" t="s">
        <v>164</v>
      </c>
      <c r="U290" s="121" t="str" cm="1">
        <f t="array" ref="U290">IF(C290="",INDEX(C283:C290,MATCH(TRUE,INDEX((C283:C290&lt;&gt;""),0),0)),C290)</f>
        <v>BOS Patience</v>
      </c>
      <c r="V290" s="122">
        <f t="shared" si="27"/>
        <v>1.1714512810922013</v>
      </c>
      <c r="W290" s="124">
        <v>20000</v>
      </c>
      <c r="X290" s="122"/>
      <c r="Y290" s="122">
        <f t="shared" si="26"/>
        <v>25055</v>
      </c>
      <c r="Z290" s="123"/>
    </row>
    <row r="291" spans="1:26" ht="25" customHeight="1" outlineLevel="1" x14ac:dyDescent="0.35">
      <c r="B291" s="155"/>
      <c r="C291" s="155"/>
      <c r="D291" s="155"/>
      <c r="E291" s="7" t="s">
        <v>14</v>
      </c>
      <c r="F291" s="32" t="s">
        <v>21</v>
      </c>
      <c r="G291" s="37"/>
      <c r="H291" s="61" t="str">
        <f t="shared" si="28"/>
        <v/>
      </c>
      <c r="I291" s="61" t="str">
        <f t="shared" si="29"/>
        <v/>
      </c>
      <c r="J291" s="62" t="str">
        <f t="shared" si="30"/>
        <v/>
      </c>
      <c r="K291" s="6"/>
      <c r="L291" s="46"/>
      <c r="U291" s="121" t="str" cm="1">
        <f t="array" ref="U291">IF(C291="",INDEX(C284:C291,MATCH(TRUE,INDEX((C284:C291&lt;&gt;""),0),0)),C291)</f>
        <v>BOS Patience</v>
      </c>
      <c r="V291" s="122">
        <f t="shared" si="27"/>
        <v>1.1714512810922013</v>
      </c>
      <c r="W291" s="124">
        <v>20000</v>
      </c>
      <c r="X291" s="122"/>
      <c r="Y291" s="122">
        <f t="shared" si="26"/>
        <v>25055</v>
      </c>
      <c r="Z291" s="123"/>
    </row>
    <row r="292" spans="1:26" ht="30" customHeight="1" x14ac:dyDescent="0.35">
      <c r="A292" s="8" t="s">
        <v>136</v>
      </c>
      <c r="B292" s="150">
        <v>49</v>
      </c>
      <c r="C292" s="150" t="s">
        <v>78</v>
      </c>
      <c r="D292" s="150" t="s">
        <v>72</v>
      </c>
      <c r="E292" s="26" t="s">
        <v>105</v>
      </c>
      <c r="F292" s="31"/>
      <c r="G292" s="34"/>
      <c r="H292" s="55" t="str">
        <f t="shared" si="28"/>
        <v/>
      </c>
      <c r="I292" s="55" t="str">
        <f t="shared" si="29"/>
        <v/>
      </c>
      <c r="J292" s="56" t="str">
        <f t="shared" si="30"/>
        <v/>
      </c>
      <c r="K292" s="2"/>
      <c r="L292" s="41"/>
      <c r="U292" s="121" t="str" cm="1">
        <f t="array" ref="U292">IF(C292="",INDEX(C285:C292,MATCH(TRUE,INDEX((C285:C292&lt;&gt;""),0),0)),C292)</f>
        <v>BOS Patriot</v>
      </c>
      <c r="V292" s="122">
        <f t="shared" si="27"/>
        <v>1.1714512810922013</v>
      </c>
      <c r="W292" s="124">
        <v>20000</v>
      </c>
      <c r="X292" s="122"/>
      <c r="Y292" s="122">
        <f t="shared" si="26"/>
        <v>25055</v>
      </c>
      <c r="Z292" s="123"/>
    </row>
    <row r="293" spans="1:26" ht="25" customHeight="1" outlineLevel="1" x14ac:dyDescent="0.35">
      <c r="B293" s="151"/>
      <c r="C293" s="151"/>
      <c r="D293" s="151"/>
      <c r="E293" s="3" t="s">
        <v>13</v>
      </c>
      <c r="F293" s="31" t="s">
        <v>17</v>
      </c>
      <c r="G293" s="35"/>
      <c r="H293" s="57">
        <f t="shared" si="28"/>
        <v>12885.964092014214</v>
      </c>
      <c r="I293" s="57">
        <f t="shared" si="29"/>
        <v>3748.6440994950444</v>
      </c>
      <c r="J293" s="58">
        <f t="shared" si="30"/>
        <v>74.972881989900884</v>
      </c>
      <c r="K293" s="3"/>
      <c r="L293" s="42" t="s">
        <v>273</v>
      </c>
      <c r="U293" s="121" t="str" cm="1">
        <f t="array" ref="U293">IF(C293="",INDEX(C286:C293,MATCH(TRUE,INDEX((C286:C293&lt;&gt;""),0),0)),C293)</f>
        <v>BOS Patriot</v>
      </c>
      <c r="V293" s="122">
        <f t="shared" si="27"/>
        <v>1.1714512810922013</v>
      </c>
      <c r="W293" s="124">
        <v>20000</v>
      </c>
      <c r="X293" s="122"/>
      <c r="Y293" s="122">
        <f t="shared" si="26"/>
        <v>25055</v>
      </c>
      <c r="Z293" s="123"/>
    </row>
    <row r="294" spans="1:26" ht="25" customHeight="1" outlineLevel="1" x14ac:dyDescent="0.35">
      <c r="B294" s="151"/>
      <c r="C294" s="151"/>
      <c r="D294" s="151"/>
      <c r="E294" s="3" t="s">
        <v>113</v>
      </c>
      <c r="F294" s="31" t="s">
        <v>21</v>
      </c>
      <c r="G294" s="35"/>
      <c r="H294" s="57" t="str">
        <f t="shared" si="28"/>
        <v/>
      </c>
      <c r="I294" s="57" t="str">
        <f t="shared" si="29"/>
        <v/>
      </c>
      <c r="J294" s="58" t="str">
        <f t="shared" si="30"/>
        <v/>
      </c>
      <c r="K294" s="3"/>
      <c r="L294" s="42"/>
      <c r="U294" s="121" t="str" cm="1">
        <f t="array" ref="U294">IF(C294="",INDEX(C287:C294,MATCH(TRUE,INDEX((C287:C294&lt;&gt;""),0),0)),C294)</f>
        <v>BOS Patriot</v>
      </c>
      <c r="V294" s="122">
        <f t="shared" si="27"/>
        <v>1.1714512810922013</v>
      </c>
      <c r="W294" s="124">
        <v>20000</v>
      </c>
      <c r="X294" s="122"/>
      <c r="Y294" s="122">
        <f t="shared" si="26"/>
        <v>25055</v>
      </c>
      <c r="Z294" s="123"/>
    </row>
    <row r="295" spans="1:26" ht="25" customHeight="1" outlineLevel="1" x14ac:dyDescent="0.35">
      <c r="B295" s="151"/>
      <c r="C295" s="151"/>
      <c r="D295" s="151"/>
      <c r="E295" s="3" t="s">
        <v>112</v>
      </c>
      <c r="F295" s="31" t="s">
        <v>21</v>
      </c>
      <c r="G295" s="35"/>
      <c r="H295" s="57" t="str">
        <f t="shared" si="28"/>
        <v/>
      </c>
      <c r="I295" s="57" t="str">
        <f t="shared" si="29"/>
        <v/>
      </c>
      <c r="J295" s="58" t="str">
        <f t="shared" si="30"/>
        <v/>
      </c>
      <c r="K295" s="3"/>
      <c r="L295" s="42"/>
      <c r="U295" s="121" t="str" cm="1">
        <f t="array" ref="U295">IF(C295="",INDEX(C288:C295,MATCH(TRUE,INDEX((C288:C295&lt;&gt;""),0),0)),C295)</f>
        <v>BOS Patriot</v>
      </c>
      <c r="V295" s="122">
        <f t="shared" si="27"/>
        <v>1.1714512810922013</v>
      </c>
      <c r="W295" s="124">
        <v>20000</v>
      </c>
      <c r="X295" s="122"/>
      <c r="Y295" s="122">
        <f t="shared" si="26"/>
        <v>25055</v>
      </c>
      <c r="Z295" s="123"/>
    </row>
    <row r="296" spans="1:26" ht="25" customHeight="1" outlineLevel="1" x14ac:dyDescent="0.35">
      <c r="B296" s="151"/>
      <c r="C296" s="151"/>
      <c r="D296" s="151"/>
      <c r="E296" s="3" t="s">
        <v>295</v>
      </c>
      <c r="F296" s="31" t="s">
        <v>21</v>
      </c>
      <c r="G296" s="35"/>
      <c r="H296" s="57"/>
      <c r="I296" s="57"/>
      <c r="J296" s="58"/>
      <c r="K296" s="3"/>
      <c r="L296" s="42"/>
      <c r="U296" s="121"/>
      <c r="V296" s="122"/>
      <c r="W296" s="124"/>
      <c r="X296" s="122"/>
      <c r="Y296" s="122"/>
      <c r="Z296" s="123"/>
    </row>
    <row r="297" spans="1:26" ht="25" customHeight="1" outlineLevel="1" x14ac:dyDescent="0.35">
      <c r="B297" s="151"/>
      <c r="C297" s="151"/>
      <c r="D297" s="151"/>
      <c r="E297" s="3" t="s">
        <v>109</v>
      </c>
      <c r="F297" s="31" t="s">
        <v>17</v>
      </c>
      <c r="G297" s="35"/>
      <c r="H297" s="57">
        <f t="shared" si="28"/>
        <v>9723.0456330652705</v>
      </c>
      <c r="I297" s="57">
        <f t="shared" si="29"/>
        <v>1171.4512810922013</v>
      </c>
      <c r="J297" s="58">
        <f t="shared" si="30"/>
        <v>52.715307649149061</v>
      </c>
      <c r="K297" s="3"/>
      <c r="L297" s="42" t="s">
        <v>274</v>
      </c>
      <c r="U297" s="121" t="str" cm="1">
        <f t="array" ref="U297">IF(C297="",INDEX(C290:C297,MATCH(TRUE,INDEX((C290:C297&lt;&gt;""),0),0)),C297)</f>
        <v>BOS Patriot</v>
      </c>
      <c r="V297" s="122">
        <f t="shared" si="27"/>
        <v>1.1714512810922013</v>
      </c>
      <c r="W297" s="124">
        <v>20000</v>
      </c>
      <c r="X297" s="122"/>
      <c r="Y297" s="122">
        <f t="shared" si="26"/>
        <v>25055</v>
      </c>
      <c r="Z297" s="123"/>
    </row>
    <row r="298" spans="1:26" ht="25" customHeight="1" outlineLevel="1" x14ac:dyDescent="0.35">
      <c r="B298" s="152"/>
      <c r="C298" s="152"/>
      <c r="D298" s="152"/>
      <c r="E298" s="4" t="s">
        <v>14</v>
      </c>
      <c r="F298" s="31" t="s">
        <v>21</v>
      </c>
      <c r="G298" s="39"/>
      <c r="H298" s="65" t="str">
        <f t="shared" si="28"/>
        <v/>
      </c>
      <c r="I298" s="65" t="str">
        <f t="shared" si="29"/>
        <v/>
      </c>
      <c r="J298" s="66" t="str">
        <f t="shared" si="30"/>
        <v/>
      </c>
      <c r="K298" s="4"/>
      <c r="L298" s="43"/>
      <c r="U298" s="121" t="str" cm="1">
        <f t="array" ref="U298">IF(C298="",INDEX(C291:C298,MATCH(TRUE,INDEX((C291:C298&lt;&gt;""),0),0)),C298)</f>
        <v>BOS Patriot</v>
      </c>
      <c r="V298" s="122">
        <f t="shared" si="27"/>
        <v>1.1714512810922013</v>
      </c>
      <c r="W298" s="124">
        <v>20000</v>
      </c>
      <c r="X298" s="122"/>
      <c r="Y298" s="122">
        <f t="shared" si="26"/>
        <v>25055</v>
      </c>
      <c r="Z298" s="123"/>
    </row>
    <row r="299" spans="1:26" ht="30" customHeight="1" x14ac:dyDescent="0.35">
      <c r="A299" s="8" t="s">
        <v>136</v>
      </c>
      <c r="B299" s="153">
        <v>50</v>
      </c>
      <c r="C299" s="153" t="s">
        <v>79</v>
      </c>
      <c r="D299" s="153" t="s">
        <v>72</v>
      </c>
      <c r="E299" s="27" t="s">
        <v>105</v>
      </c>
      <c r="F299" s="32"/>
      <c r="G299" s="37"/>
      <c r="H299" s="61" t="str">
        <f t="shared" si="28"/>
        <v/>
      </c>
      <c r="I299" s="61" t="str">
        <f t="shared" si="29"/>
        <v/>
      </c>
      <c r="J299" s="62" t="str">
        <f t="shared" si="30"/>
        <v/>
      </c>
      <c r="K299" s="6"/>
      <c r="L299" s="44"/>
      <c r="U299" s="121" t="str" cm="1">
        <f t="array" ref="U299">IF(C299="",INDEX(C292:C299,MATCH(TRUE,INDEX((C292:C299&lt;&gt;""),0),0)),C299)</f>
        <v>BOS Precious</v>
      </c>
      <c r="V299" s="122">
        <f t="shared" si="27"/>
        <v>0.92860482513559006</v>
      </c>
      <c r="W299" s="124">
        <v>20000</v>
      </c>
      <c r="X299" s="122"/>
      <c r="Y299" s="122">
        <f t="shared" si="26"/>
        <v>19861</v>
      </c>
      <c r="Z299" s="123"/>
    </row>
    <row r="300" spans="1:26" ht="25" customHeight="1" outlineLevel="1" x14ac:dyDescent="0.35">
      <c r="B300" s="154"/>
      <c r="C300" s="154"/>
      <c r="D300" s="154"/>
      <c r="E300" s="6" t="s">
        <v>13</v>
      </c>
      <c r="F300" s="32" t="s">
        <v>17</v>
      </c>
      <c r="G300" s="37"/>
      <c r="H300" s="61">
        <f t="shared" si="28"/>
        <v>10214.653076491491</v>
      </c>
      <c r="I300" s="61">
        <f t="shared" si="29"/>
        <v>2971.5354404338882</v>
      </c>
      <c r="J300" s="62">
        <f t="shared" si="30"/>
        <v>59.430708808677764</v>
      </c>
      <c r="K300" s="6"/>
      <c r="L300" s="45"/>
      <c r="U300" s="121" t="str" cm="1">
        <f t="array" ref="U300">IF(C300="",INDEX(C293:C300,MATCH(TRUE,INDEX((C293:C300&lt;&gt;""),0),0)),C300)</f>
        <v>BOS Precious</v>
      </c>
      <c r="V300" s="122">
        <f t="shared" si="27"/>
        <v>0.92860482513559006</v>
      </c>
      <c r="W300" s="124">
        <v>20000</v>
      </c>
      <c r="X300" s="122"/>
      <c r="Y300" s="122">
        <f t="shared" si="26"/>
        <v>19861</v>
      </c>
      <c r="Z300" s="123"/>
    </row>
    <row r="301" spans="1:26" ht="25" customHeight="1" outlineLevel="1" x14ac:dyDescent="0.35">
      <c r="B301" s="154"/>
      <c r="C301" s="154"/>
      <c r="D301" s="154"/>
      <c r="E301" s="6" t="s">
        <v>113</v>
      </c>
      <c r="F301" s="32" t="s">
        <v>21</v>
      </c>
      <c r="G301" s="37"/>
      <c r="H301" s="61" t="str">
        <f t="shared" si="28"/>
        <v/>
      </c>
      <c r="I301" s="61" t="str">
        <f t="shared" si="29"/>
        <v/>
      </c>
      <c r="J301" s="62" t="str">
        <f t="shared" si="30"/>
        <v/>
      </c>
      <c r="K301" s="6"/>
      <c r="L301" s="45"/>
      <c r="U301" s="121" t="str" cm="1">
        <f t="array" ref="U301">IF(C301="",INDEX(C294:C301,MATCH(TRUE,INDEX((C294:C301&lt;&gt;""),0),0)),C301)</f>
        <v>BOS Precious</v>
      </c>
      <c r="V301" s="122">
        <f t="shared" si="27"/>
        <v>0.92860482513559006</v>
      </c>
      <c r="W301" s="124">
        <v>20000</v>
      </c>
      <c r="X301" s="122"/>
      <c r="Y301" s="122">
        <f t="shared" si="26"/>
        <v>19861</v>
      </c>
      <c r="Z301" s="123"/>
    </row>
    <row r="302" spans="1:26" ht="25" customHeight="1" outlineLevel="1" x14ac:dyDescent="0.35">
      <c r="B302" s="154"/>
      <c r="C302" s="154"/>
      <c r="D302" s="154"/>
      <c r="E302" s="6" t="s">
        <v>112</v>
      </c>
      <c r="F302" s="32" t="s">
        <v>17</v>
      </c>
      <c r="G302" s="37"/>
      <c r="H302" s="61">
        <f t="shared" si="28"/>
        <v>7428.8386010847207</v>
      </c>
      <c r="I302" s="61">
        <f t="shared" si="29"/>
        <v>928.60482513559009</v>
      </c>
      <c r="J302" s="62">
        <f t="shared" si="30"/>
        <v>37.144193005423602</v>
      </c>
      <c r="K302" s="6"/>
      <c r="L302" s="45" t="s">
        <v>282</v>
      </c>
      <c r="U302" s="121" t="str" cm="1">
        <f t="array" ref="U302">IF(C302="",INDEX(C295:C302,MATCH(TRUE,INDEX((C295:C302&lt;&gt;""),0),0)),C302)</f>
        <v>BOS Precious</v>
      </c>
      <c r="V302" s="122">
        <f t="shared" si="27"/>
        <v>0.92860482513559006</v>
      </c>
      <c r="W302" s="124">
        <v>20000</v>
      </c>
      <c r="X302" s="122"/>
      <c r="Y302" s="122">
        <f t="shared" si="26"/>
        <v>19861</v>
      </c>
      <c r="Z302" s="123"/>
    </row>
    <row r="303" spans="1:26" ht="25" customHeight="1" outlineLevel="1" x14ac:dyDescent="0.35">
      <c r="B303" s="154"/>
      <c r="C303" s="154"/>
      <c r="D303" s="154"/>
      <c r="E303" s="6" t="s">
        <v>295</v>
      </c>
      <c r="F303" s="32" t="s">
        <v>21</v>
      </c>
      <c r="G303" s="37"/>
      <c r="H303" s="61"/>
      <c r="I303" s="61"/>
      <c r="J303" s="62"/>
      <c r="K303" s="6"/>
      <c r="L303" s="45"/>
      <c r="U303" s="121"/>
      <c r="V303" s="122"/>
      <c r="W303" s="124"/>
      <c r="X303" s="122"/>
      <c r="Y303" s="122"/>
      <c r="Z303" s="123"/>
    </row>
    <row r="304" spans="1:26" ht="25" customHeight="1" outlineLevel="1" x14ac:dyDescent="0.35">
      <c r="B304" s="154"/>
      <c r="C304" s="154"/>
      <c r="D304" s="154"/>
      <c r="E304" s="6" t="s">
        <v>109</v>
      </c>
      <c r="F304" s="32" t="s">
        <v>108</v>
      </c>
      <c r="G304" s="37"/>
      <c r="H304" s="61" t="str">
        <f t="shared" si="28"/>
        <v/>
      </c>
      <c r="I304" s="61" t="str">
        <f t="shared" si="29"/>
        <v/>
      </c>
      <c r="J304" s="62" t="str">
        <f t="shared" si="30"/>
        <v/>
      </c>
      <c r="K304" s="6"/>
      <c r="L304" s="45"/>
      <c r="U304" s="121" t="str" cm="1">
        <f t="array" ref="U304">IF(C304="",INDEX(C297:C304,MATCH(TRUE,INDEX((C297:C304&lt;&gt;""),0),0)),C304)</f>
        <v>BOS Precious</v>
      </c>
      <c r="V304" s="122">
        <f t="shared" si="27"/>
        <v>0.92860482513559006</v>
      </c>
      <c r="W304" s="124">
        <v>20000</v>
      </c>
      <c r="X304" s="122"/>
      <c r="Y304" s="122">
        <f t="shared" si="26"/>
        <v>19861</v>
      </c>
      <c r="Z304" s="123"/>
    </row>
    <row r="305" spans="1:26" ht="25" customHeight="1" outlineLevel="1" x14ac:dyDescent="0.35">
      <c r="B305" s="155"/>
      <c r="C305" s="155"/>
      <c r="D305" s="155"/>
      <c r="E305" s="7" t="s">
        <v>14</v>
      </c>
      <c r="F305" s="32" t="s">
        <v>21</v>
      </c>
      <c r="G305" s="37"/>
      <c r="H305" s="61" t="str">
        <f t="shared" si="28"/>
        <v/>
      </c>
      <c r="I305" s="61" t="str">
        <f t="shared" si="29"/>
        <v/>
      </c>
      <c r="J305" s="62" t="str">
        <f t="shared" si="30"/>
        <v/>
      </c>
      <c r="K305" s="6"/>
      <c r="L305" s="46"/>
      <c r="U305" s="121" t="str" cm="1">
        <f t="array" ref="U305">IF(C305="",INDEX(C298:C305,MATCH(TRUE,INDEX((C298:C305&lt;&gt;""),0),0)),C305)</f>
        <v>BOS Precious</v>
      </c>
      <c r="V305" s="122">
        <f t="shared" si="27"/>
        <v>0.92860482513559006</v>
      </c>
      <c r="W305" s="124">
        <v>20000</v>
      </c>
      <c r="X305" s="122"/>
      <c r="Y305" s="122">
        <f t="shared" si="26"/>
        <v>19861</v>
      </c>
      <c r="Z305" s="123"/>
    </row>
    <row r="306" spans="1:26" ht="30" customHeight="1" x14ac:dyDescent="0.35">
      <c r="A306" s="8" t="s">
        <v>136</v>
      </c>
      <c r="B306" s="150">
        <v>51</v>
      </c>
      <c r="C306" s="150" t="s">
        <v>80</v>
      </c>
      <c r="D306" s="150" t="s">
        <v>72</v>
      </c>
      <c r="E306" s="26" t="s">
        <v>105</v>
      </c>
      <c r="F306" s="31"/>
      <c r="G306" s="34"/>
      <c r="H306" s="55" t="str">
        <f t="shared" si="28"/>
        <v/>
      </c>
      <c r="I306" s="55" t="str">
        <f t="shared" si="29"/>
        <v/>
      </c>
      <c r="J306" s="56" t="str">
        <f t="shared" si="30"/>
        <v/>
      </c>
      <c r="K306" s="2"/>
      <c r="L306" s="41"/>
      <c r="U306" s="121" t="str" cm="1">
        <f t="array" ref="U306">IF(C306="",INDEX(C299:C306,MATCH(TRUE,INDEX((C299:C306&lt;&gt;""),0),0)),C306)</f>
        <v>BOS Prelude</v>
      </c>
      <c r="V306" s="122">
        <f t="shared" si="27"/>
        <v>0.92860482513559006</v>
      </c>
      <c r="W306" s="124">
        <v>20000</v>
      </c>
      <c r="X306" s="122"/>
      <c r="Y306" s="122">
        <f t="shared" si="26"/>
        <v>19861</v>
      </c>
      <c r="Z306" s="123"/>
    </row>
    <row r="307" spans="1:26" ht="25" customHeight="1" outlineLevel="1" x14ac:dyDescent="0.35">
      <c r="B307" s="151"/>
      <c r="C307" s="151"/>
      <c r="D307" s="151"/>
      <c r="E307" s="3" t="s">
        <v>13</v>
      </c>
      <c r="F307" s="31" t="s">
        <v>17</v>
      </c>
      <c r="G307" s="35"/>
      <c r="H307" s="57">
        <f t="shared" si="28"/>
        <v>10214.653076491491</v>
      </c>
      <c r="I307" s="57">
        <f t="shared" si="29"/>
        <v>2971.5354404338882</v>
      </c>
      <c r="J307" s="58">
        <f t="shared" si="30"/>
        <v>59.430708808677764</v>
      </c>
      <c r="K307" s="3"/>
      <c r="L307" s="42"/>
      <c r="U307" s="121" t="str" cm="1">
        <f t="array" ref="U307">IF(C307="",INDEX(C300:C307,MATCH(TRUE,INDEX((C300:C307&lt;&gt;""),0),0)),C307)</f>
        <v>BOS Prelude</v>
      </c>
      <c r="V307" s="122">
        <f t="shared" si="27"/>
        <v>0.92860482513559006</v>
      </c>
      <c r="W307" s="124">
        <v>20000</v>
      </c>
      <c r="X307" s="122"/>
      <c r="Y307" s="122">
        <f t="shared" si="26"/>
        <v>19861</v>
      </c>
      <c r="Z307" s="123"/>
    </row>
    <row r="308" spans="1:26" ht="25" customHeight="1" outlineLevel="1" x14ac:dyDescent="0.35">
      <c r="B308" s="151"/>
      <c r="C308" s="151"/>
      <c r="D308" s="151"/>
      <c r="E308" s="3" t="s">
        <v>113</v>
      </c>
      <c r="F308" s="31" t="s">
        <v>21</v>
      </c>
      <c r="G308" s="35"/>
      <c r="H308" s="57" t="str">
        <f t="shared" si="28"/>
        <v/>
      </c>
      <c r="I308" s="57" t="str">
        <f t="shared" si="29"/>
        <v/>
      </c>
      <c r="J308" s="58" t="str">
        <f t="shared" si="30"/>
        <v/>
      </c>
      <c r="K308" s="3"/>
      <c r="L308" s="42"/>
      <c r="U308" s="121" t="str" cm="1">
        <f t="array" ref="U308">IF(C308="",INDEX(C301:C308,MATCH(TRUE,INDEX((C301:C308&lt;&gt;""),0),0)),C308)</f>
        <v>BOS Prelude</v>
      </c>
      <c r="V308" s="122">
        <f t="shared" si="27"/>
        <v>0.92860482513559006</v>
      </c>
      <c r="W308" s="124">
        <v>20000</v>
      </c>
      <c r="X308" s="122"/>
      <c r="Y308" s="122">
        <f t="shared" si="26"/>
        <v>19861</v>
      </c>
      <c r="Z308" s="123"/>
    </row>
    <row r="309" spans="1:26" ht="25" customHeight="1" outlineLevel="1" x14ac:dyDescent="0.35">
      <c r="B309" s="151"/>
      <c r="C309" s="151"/>
      <c r="D309" s="151"/>
      <c r="E309" s="3" t="s">
        <v>112</v>
      </c>
      <c r="F309" s="31" t="s">
        <v>21</v>
      </c>
      <c r="G309" s="35"/>
      <c r="H309" s="57" t="str">
        <f t="shared" si="28"/>
        <v/>
      </c>
      <c r="I309" s="57" t="str">
        <f t="shared" si="29"/>
        <v/>
      </c>
      <c r="J309" s="58" t="str">
        <f t="shared" si="30"/>
        <v/>
      </c>
      <c r="K309" s="3"/>
      <c r="L309" s="42" t="s">
        <v>171</v>
      </c>
      <c r="U309" s="121" t="str" cm="1">
        <f t="array" ref="U309">IF(C309="",INDEX(C302:C309,MATCH(TRUE,INDEX((C302:C309&lt;&gt;""),0),0)),C309)</f>
        <v>BOS Prelude</v>
      </c>
      <c r="V309" s="122">
        <f t="shared" si="27"/>
        <v>0.92860482513559006</v>
      </c>
      <c r="W309" s="124">
        <v>20000</v>
      </c>
      <c r="X309" s="122"/>
      <c r="Y309" s="122">
        <f t="shared" si="26"/>
        <v>19861</v>
      </c>
      <c r="Z309" s="123"/>
    </row>
    <row r="310" spans="1:26" ht="25" customHeight="1" outlineLevel="1" x14ac:dyDescent="0.35">
      <c r="B310" s="151"/>
      <c r="C310" s="151"/>
      <c r="D310" s="151"/>
      <c r="E310" s="3" t="s">
        <v>109</v>
      </c>
      <c r="F310" s="31" t="s">
        <v>21</v>
      </c>
      <c r="G310" s="35"/>
      <c r="H310" s="57" t="str">
        <f t="shared" si="28"/>
        <v/>
      </c>
      <c r="I310" s="57" t="str">
        <f t="shared" si="29"/>
        <v/>
      </c>
      <c r="J310" s="58" t="str">
        <f t="shared" si="30"/>
        <v/>
      </c>
      <c r="K310" s="3"/>
      <c r="L310" s="42"/>
      <c r="U310" s="121" t="str" cm="1">
        <f t="array" ref="U310">IF(C310="",INDEX(C304:C310,MATCH(TRUE,INDEX((C304:C310&lt;&gt;""),0),0)),C310)</f>
        <v>BOS Prelude</v>
      </c>
      <c r="V310" s="122">
        <f t="shared" si="27"/>
        <v>0.92860482513559006</v>
      </c>
      <c r="W310" s="124">
        <v>20000</v>
      </c>
      <c r="X310" s="122"/>
      <c r="Y310" s="122">
        <f t="shared" si="26"/>
        <v>19861</v>
      </c>
      <c r="Z310" s="123"/>
    </row>
    <row r="311" spans="1:26" ht="25" customHeight="1" outlineLevel="1" x14ac:dyDescent="0.35">
      <c r="B311" s="152"/>
      <c r="C311" s="152"/>
      <c r="D311" s="152"/>
      <c r="E311" s="4" t="s">
        <v>14</v>
      </c>
      <c r="F311" s="31" t="s">
        <v>21</v>
      </c>
      <c r="G311" s="39"/>
      <c r="H311" s="65" t="str">
        <f t="shared" si="28"/>
        <v/>
      </c>
      <c r="I311" s="65" t="str">
        <f t="shared" si="29"/>
        <v/>
      </c>
      <c r="J311" s="66" t="str">
        <f t="shared" si="30"/>
        <v/>
      </c>
      <c r="K311" s="4"/>
      <c r="L311" s="43"/>
      <c r="U311" s="121" t="str" cm="1">
        <f t="array" ref="U311">IF(C311="",INDEX(C305:C311,MATCH(TRUE,INDEX((C305:C311&lt;&gt;""),0),0)),C311)</f>
        <v>BOS Prelude</v>
      </c>
      <c r="V311" s="122">
        <f t="shared" si="27"/>
        <v>0.92860482513559006</v>
      </c>
      <c r="W311" s="124">
        <v>20000</v>
      </c>
      <c r="X311" s="122"/>
      <c r="Y311" s="122">
        <f t="shared" si="26"/>
        <v>19861</v>
      </c>
      <c r="Z311" s="123"/>
    </row>
    <row r="312" spans="1:26" ht="30" customHeight="1" x14ac:dyDescent="0.35">
      <c r="A312" s="8" t="s">
        <v>136</v>
      </c>
      <c r="B312" s="153">
        <v>52</v>
      </c>
      <c r="C312" s="153" t="s">
        <v>81</v>
      </c>
      <c r="D312" s="153" t="s">
        <v>72</v>
      </c>
      <c r="E312" s="27" t="s">
        <v>105</v>
      </c>
      <c r="F312" s="32"/>
      <c r="G312" s="37"/>
      <c r="H312" s="61" t="str">
        <f t="shared" si="28"/>
        <v/>
      </c>
      <c r="I312" s="61" t="str">
        <f t="shared" si="29"/>
        <v/>
      </c>
      <c r="J312" s="62" t="str">
        <f t="shared" si="30"/>
        <v/>
      </c>
      <c r="K312" s="6"/>
      <c r="L312" s="44"/>
      <c r="U312" s="121" t="str" cm="1">
        <f t="array" ref="U312">IF(C312="",INDEX(C306:C312,MATCH(TRUE,INDEX((C306:C312&lt;&gt;""),0),0)),C312)</f>
        <v>BOS Prime</v>
      </c>
      <c r="V312" s="122">
        <f t="shared" si="27"/>
        <v>1</v>
      </c>
      <c r="W312" s="124">
        <v>20000</v>
      </c>
      <c r="X312" s="122"/>
      <c r="Y312" s="122">
        <f t="shared" si="26"/>
        <v>21388</v>
      </c>
      <c r="Z312" s="123"/>
    </row>
    <row r="313" spans="1:26" ht="25" customHeight="1" outlineLevel="1" x14ac:dyDescent="0.35">
      <c r="B313" s="154"/>
      <c r="C313" s="154"/>
      <c r="D313" s="154"/>
      <c r="E313" s="6" t="s">
        <v>13</v>
      </c>
      <c r="F313" s="32" t="s">
        <v>17</v>
      </c>
      <c r="G313" s="37"/>
      <c r="H313" s="61">
        <f t="shared" si="28"/>
        <v>11000</v>
      </c>
      <c r="I313" s="61">
        <f t="shared" si="29"/>
        <v>3200</v>
      </c>
      <c r="J313" s="62">
        <f t="shared" si="30"/>
        <v>64</v>
      </c>
      <c r="K313" s="6"/>
      <c r="L313" s="45"/>
      <c r="U313" s="121" t="str" cm="1">
        <f t="array" ref="U313">IF(C313="",INDEX(C307:C313,MATCH(TRUE,INDEX((C307:C313&lt;&gt;""),0),0)),C313)</f>
        <v>BOS Prime</v>
      </c>
      <c r="V313" s="122">
        <f t="shared" si="27"/>
        <v>1</v>
      </c>
      <c r="W313" s="124">
        <v>20000</v>
      </c>
      <c r="X313" s="122"/>
      <c r="Y313" s="122">
        <f t="shared" si="26"/>
        <v>21388</v>
      </c>
      <c r="Z313" s="123"/>
    </row>
    <row r="314" spans="1:26" ht="25" customHeight="1" outlineLevel="1" x14ac:dyDescent="0.35">
      <c r="B314" s="154"/>
      <c r="C314" s="154"/>
      <c r="D314" s="154"/>
      <c r="E314" s="6" t="s">
        <v>113</v>
      </c>
      <c r="F314" s="32" t="s">
        <v>21</v>
      </c>
      <c r="G314" s="37"/>
      <c r="H314" s="61" t="str">
        <f t="shared" si="28"/>
        <v/>
      </c>
      <c r="I314" s="61" t="str">
        <f t="shared" si="29"/>
        <v/>
      </c>
      <c r="J314" s="62" t="str">
        <f t="shared" si="30"/>
        <v/>
      </c>
      <c r="K314" s="6"/>
      <c r="L314" s="45"/>
      <c r="U314" s="121" t="str" cm="1">
        <f t="array" ref="U314">IF(C314="",INDEX(C308:C314,MATCH(TRUE,INDEX((C308:C314&lt;&gt;""),0),0)),C314)</f>
        <v>BOS Prime</v>
      </c>
      <c r="V314" s="122">
        <f t="shared" si="27"/>
        <v>1</v>
      </c>
      <c r="W314" s="124">
        <v>20000</v>
      </c>
      <c r="X314" s="122"/>
      <c r="Y314" s="122">
        <f t="shared" si="26"/>
        <v>21388</v>
      </c>
      <c r="Z314" s="123"/>
    </row>
    <row r="315" spans="1:26" ht="25" customHeight="1" outlineLevel="1" x14ac:dyDescent="0.35">
      <c r="B315" s="154"/>
      <c r="C315" s="154"/>
      <c r="D315" s="154"/>
      <c r="E315" s="6" t="s">
        <v>112</v>
      </c>
      <c r="F315" s="32" t="s">
        <v>21</v>
      </c>
      <c r="G315" s="37"/>
      <c r="H315" s="61" t="str">
        <f>IF(F315="Done", V315*VLOOKUP(E315, $AB$3:$AC$11, 2, FALSE), "")</f>
        <v/>
      </c>
      <c r="I315" s="61" t="str">
        <f>IF(F315="Done", V315*VLOOKUP(E315, $AB$3:$AD$11, 3, FALSE), "")</f>
        <v/>
      </c>
      <c r="J315" s="62" t="str">
        <f>IF(F315="Done", V315*VLOOKUP(E315, $AB$3:$AE$11, 4, FALSE), "")</f>
        <v/>
      </c>
      <c r="K315" s="6"/>
      <c r="L315" s="45"/>
      <c r="U315" s="121" t="str" cm="1">
        <f t="array" ref="U315">IF(C315="",INDEX(C309:C315,MATCH(TRUE,INDEX((C309:C315&lt;&gt;""),0),0)),C315)</f>
        <v>BOS Prime</v>
      </c>
      <c r="V315" s="122">
        <f t="shared" si="27"/>
        <v>1</v>
      </c>
      <c r="W315" s="124">
        <v>20000</v>
      </c>
      <c r="X315" s="122"/>
      <c r="Y315" s="122">
        <f t="shared" si="26"/>
        <v>21388</v>
      </c>
      <c r="Z315" s="123"/>
    </row>
    <row r="316" spans="1:26" ht="25" customHeight="1" outlineLevel="1" x14ac:dyDescent="0.35">
      <c r="B316" s="154"/>
      <c r="C316" s="154"/>
      <c r="D316" s="154"/>
      <c r="E316" s="6" t="s">
        <v>109</v>
      </c>
      <c r="F316" s="32" t="s">
        <v>21</v>
      </c>
      <c r="G316" s="37"/>
      <c r="H316" s="61" t="str">
        <f>IF(F316="Done", V316*VLOOKUP(E316, $AB$3:$AC$11, 2, FALSE), "")</f>
        <v/>
      </c>
      <c r="I316" s="61" t="str">
        <f>IF(F316="Done", V316*VLOOKUP(E316, $AB$3:$AD$11, 3, FALSE), "")</f>
        <v/>
      </c>
      <c r="J316" s="62" t="str">
        <f>IF(F316="Done", V316*VLOOKUP(E316, $AB$3:$AE$11, 4, FALSE), "")</f>
        <v/>
      </c>
      <c r="K316" s="6"/>
      <c r="L316" s="45"/>
      <c r="U316" s="121" t="str" cm="1">
        <f t="array" ref="U316">IF(C316="",INDEX(C310:C316,MATCH(TRUE,INDEX((C310:C316&lt;&gt;""),0),0)),C316)</f>
        <v>BOS Prime</v>
      </c>
      <c r="V316" s="122">
        <f t="shared" si="27"/>
        <v>1</v>
      </c>
      <c r="W316" s="124">
        <v>20000</v>
      </c>
      <c r="X316" s="122"/>
      <c r="Y316" s="122">
        <f t="shared" si="26"/>
        <v>21388</v>
      </c>
      <c r="Z316" s="123"/>
    </row>
    <row r="317" spans="1:26" ht="25" customHeight="1" outlineLevel="1" x14ac:dyDescent="0.35">
      <c r="B317" s="155"/>
      <c r="C317" s="155"/>
      <c r="D317" s="155"/>
      <c r="E317" s="7" t="s">
        <v>14</v>
      </c>
      <c r="F317" s="32" t="s">
        <v>17</v>
      </c>
      <c r="G317" s="37"/>
      <c r="H317" s="61">
        <f t="shared" si="28"/>
        <v>2500</v>
      </c>
      <c r="I317" s="61">
        <f t="shared" si="29"/>
        <v>3200</v>
      </c>
      <c r="J317" s="62">
        <f t="shared" si="30"/>
        <v>11</v>
      </c>
      <c r="K317" s="6"/>
      <c r="L317" s="46"/>
      <c r="U317" s="121" t="str" cm="1">
        <f t="array" ref="U317">IF(C317="",INDEX(C311:C317,MATCH(TRUE,INDEX((C311:C317&lt;&gt;""),0),0)),C317)</f>
        <v>BOS Prime</v>
      </c>
      <c r="V317" s="122">
        <f t="shared" si="27"/>
        <v>1</v>
      </c>
      <c r="W317" s="124">
        <v>20000</v>
      </c>
      <c r="X317" s="122"/>
      <c r="Y317" s="122">
        <f t="shared" si="26"/>
        <v>21388</v>
      </c>
      <c r="Z317" s="123"/>
    </row>
    <row r="318" spans="1:26" ht="30" customHeight="1" x14ac:dyDescent="0.35">
      <c r="A318" s="8" t="s">
        <v>136</v>
      </c>
      <c r="B318" s="150">
        <v>53</v>
      </c>
      <c r="C318" s="150" t="s">
        <v>82</v>
      </c>
      <c r="D318" s="150" t="s">
        <v>72</v>
      </c>
      <c r="E318" s="26" t="s">
        <v>105</v>
      </c>
      <c r="F318" s="31"/>
      <c r="G318" s="34"/>
      <c r="H318" s="55" t="str">
        <f t="shared" si="28"/>
        <v/>
      </c>
      <c r="I318" s="55" t="str">
        <f t="shared" si="29"/>
        <v/>
      </c>
      <c r="J318" s="56" t="str">
        <f t="shared" si="30"/>
        <v/>
      </c>
      <c r="K318" s="150" t="s">
        <v>143</v>
      </c>
      <c r="L318" s="41"/>
      <c r="U318" s="121" t="str" cm="1">
        <f t="array" ref="U318">IF(C318="",INDEX(C312:C318,MATCH(TRUE,INDEX((C312:C318&lt;&gt;""),0),0)),C318)</f>
        <v>BOS Prince</v>
      </c>
      <c r="V318" s="122">
        <f t="shared" si="27"/>
        <v>1</v>
      </c>
      <c r="W318" s="124">
        <v>20000</v>
      </c>
      <c r="X318" s="122"/>
      <c r="Y318" s="122">
        <f t="shared" si="26"/>
        <v>21388</v>
      </c>
      <c r="Z318" s="123"/>
    </row>
    <row r="319" spans="1:26" ht="25" customHeight="1" outlineLevel="1" x14ac:dyDescent="0.35">
      <c r="B319" s="151"/>
      <c r="C319" s="151"/>
      <c r="D319" s="151"/>
      <c r="E319" s="3" t="s">
        <v>13</v>
      </c>
      <c r="F319" s="31" t="s">
        <v>17</v>
      </c>
      <c r="G319" s="35"/>
      <c r="H319" s="57">
        <f t="shared" si="28"/>
        <v>11000</v>
      </c>
      <c r="I319" s="57">
        <f t="shared" si="29"/>
        <v>3200</v>
      </c>
      <c r="J319" s="58">
        <f t="shared" si="30"/>
        <v>64</v>
      </c>
      <c r="K319" s="151"/>
      <c r="L319" s="42"/>
      <c r="U319" s="121" t="str" cm="1">
        <f t="array" ref="U319">IF(C319="",INDEX(C313:C319,MATCH(TRUE,INDEX((C313:C319&lt;&gt;""),0),0)),C319)</f>
        <v>BOS Prince</v>
      </c>
      <c r="V319" s="122">
        <f t="shared" si="27"/>
        <v>1</v>
      </c>
      <c r="W319" s="124">
        <v>20000</v>
      </c>
      <c r="X319" s="122"/>
      <c r="Y319" s="122">
        <f t="shared" si="26"/>
        <v>21388</v>
      </c>
      <c r="Z319" s="123"/>
    </row>
    <row r="320" spans="1:26" ht="25" customHeight="1" outlineLevel="1" x14ac:dyDescent="0.35">
      <c r="B320" s="151"/>
      <c r="C320" s="151"/>
      <c r="D320" s="151"/>
      <c r="E320" s="3" t="s">
        <v>113</v>
      </c>
      <c r="F320" s="31" t="s">
        <v>21</v>
      </c>
      <c r="G320" s="35"/>
      <c r="H320" s="57" t="str">
        <f t="shared" si="28"/>
        <v/>
      </c>
      <c r="I320" s="57" t="str">
        <f t="shared" si="29"/>
        <v/>
      </c>
      <c r="J320" s="58" t="str">
        <f t="shared" si="30"/>
        <v/>
      </c>
      <c r="K320" s="151"/>
      <c r="L320" s="42"/>
      <c r="U320" s="121" t="str" cm="1">
        <f t="array" ref="U320">IF(C320="",INDEX(C314:C320,MATCH(TRUE,INDEX((C314:C320&lt;&gt;""),0),0)),C320)</f>
        <v>BOS Prince</v>
      </c>
      <c r="V320" s="122">
        <f t="shared" si="27"/>
        <v>1</v>
      </c>
      <c r="W320" s="124">
        <v>20000</v>
      </c>
      <c r="X320" s="122"/>
      <c r="Y320" s="122">
        <f t="shared" si="26"/>
        <v>21388</v>
      </c>
      <c r="Z320" s="123"/>
    </row>
    <row r="321" spans="1:26" ht="25" customHeight="1" outlineLevel="1" x14ac:dyDescent="0.35">
      <c r="B321" s="151"/>
      <c r="C321" s="151"/>
      <c r="D321" s="151"/>
      <c r="E321" s="3" t="s">
        <v>112</v>
      </c>
      <c r="F321" s="31" t="s">
        <v>17</v>
      </c>
      <c r="G321" s="35"/>
      <c r="H321" s="57">
        <f t="shared" si="28"/>
        <v>8000</v>
      </c>
      <c r="I321" s="57">
        <f t="shared" si="29"/>
        <v>1000</v>
      </c>
      <c r="J321" s="58">
        <f t="shared" si="30"/>
        <v>40</v>
      </c>
      <c r="K321" s="151"/>
      <c r="L321" s="42" t="s">
        <v>141</v>
      </c>
      <c r="U321" s="121" t="str" cm="1">
        <f t="array" ref="U321">IF(C321="",INDEX(C315:C321,MATCH(TRUE,INDEX((C315:C321&lt;&gt;""),0),0)),C321)</f>
        <v>BOS Prince</v>
      </c>
      <c r="V321" s="122">
        <f t="shared" si="27"/>
        <v>1</v>
      </c>
      <c r="W321" s="124">
        <v>20000</v>
      </c>
      <c r="X321" s="122"/>
      <c r="Y321" s="122">
        <f t="shared" si="26"/>
        <v>21388</v>
      </c>
      <c r="Z321" s="123"/>
    </row>
    <row r="322" spans="1:26" ht="25" customHeight="1" outlineLevel="1" x14ac:dyDescent="0.35">
      <c r="B322" s="151"/>
      <c r="C322" s="151"/>
      <c r="D322" s="151"/>
      <c r="E322" s="3" t="s">
        <v>109</v>
      </c>
      <c r="F322" s="31" t="s">
        <v>21</v>
      </c>
      <c r="G322" s="35"/>
      <c r="H322" s="57" t="str">
        <f t="shared" si="28"/>
        <v/>
      </c>
      <c r="I322" s="57" t="str">
        <f t="shared" si="29"/>
        <v/>
      </c>
      <c r="J322" s="58" t="str">
        <f t="shared" si="30"/>
        <v/>
      </c>
      <c r="K322" s="151"/>
      <c r="L322" s="42"/>
      <c r="U322" s="121" t="str" cm="1">
        <f t="array" ref="U322">IF(C322="",INDEX(C316:C322,MATCH(TRUE,INDEX((C316:C322&lt;&gt;""),0),0)),C322)</f>
        <v>BOS Prince</v>
      </c>
      <c r="V322" s="122">
        <f t="shared" si="27"/>
        <v>1</v>
      </c>
      <c r="W322" s="124">
        <v>20000</v>
      </c>
      <c r="X322" s="122"/>
      <c r="Y322" s="122">
        <f t="shared" si="26"/>
        <v>21388</v>
      </c>
      <c r="Z322" s="123"/>
    </row>
    <row r="323" spans="1:26" ht="25" customHeight="1" outlineLevel="1" x14ac:dyDescent="0.35">
      <c r="B323" s="152"/>
      <c r="C323" s="152"/>
      <c r="D323" s="152"/>
      <c r="E323" s="4" t="s">
        <v>14</v>
      </c>
      <c r="F323" s="31" t="s">
        <v>17</v>
      </c>
      <c r="G323" s="39"/>
      <c r="H323" s="65">
        <f t="shared" si="28"/>
        <v>2500</v>
      </c>
      <c r="I323" s="65">
        <f t="shared" si="29"/>
        <v>3200</v>
      </c>
      <c r="J323" s="66">
        <f t="shared" si="30"/>
        <v>11</v>
      </c>
      <c r="K323" s="152"/>
      <c r="L323" s="43"/>
      <c r="U323" s="121" t="str" cm="1">
        <f t="array" ref="U323">IF(C323="",INDEX(C317:C323,MATCH(TRUE,INDEX((C317:C323&lt;&gt;""),0),0)),C323)</f>
        <v>BOS Prince</v>
      </c>
      <c r="V323" s="122">
        <f t="shared" si="27"/>
        <v>1</v>
      </c>
      <c r="W323" s="124">
        <v>20000</v>
      </c>
      <c r="X323" s="122"/>
      <c r="Y323" s="122">
        <f t="shared" si="26"/>
        <v>21388</v>
      </c>
      <c r="Z323" s="123"/>
    </row>
    <row r="324" spans="1:26" ht="30" customHeight="1" x14ac:dyDescent="0.35">
      <c r="A324" s="8" t="s">
        <v>136</v>
      </c>
      <c r="B324" s="153">
        <v>54</v>
      </c>
      <c r="C324" s="153" t="s">
        <v>83</v>
      </c>
      <c r="D324" s="153" t="s">
        <v>72</v>
      </c>
      <c r="E324" s="27" t="s">
        <v>105</v>
      </c>
      <c r="F324" s="32"/>
      <c r="G324" s="37"/>
      <c r="H324" s="61" t="str">
        <f t="shared" si="28"/>
        <v/>
      </c>
      <c r="I324" s="61" t="str">
        <f t="shared" si="29"/>
        <v/>
      </c>
      <c r="J324" s="62" t="str">
        <f t="shared" si="30"/>
        <v/>
      </c>
      <c r="K324" s="153" t="s">
        <v>177</v>
      </c>
      <c r="L324" s="44"/>
      <c r="U324" s="121" t="str" cm="1">
        <f t="array" ref="U324">IF(C324="",INDEX(C318:C324,MATCH(TRUE,INDEX((C318:C324&lt;&gt;""),0),0)),C324)</f>
        <v>BOS Principle</v>
      </c>
      <c r="V324" s="122">
        <f t="shared" si="27"/>
        <v>1</v>
      </c>
      <c r="W324" s="124">
        <v>20000</v>
      </c>
      <c r="X324" s="122"/>
      <c r="Y324" s="122">
        <f t="shared" si="26"/>
        <v>21388</v>
      </c>
      <c r="Z324" s="123"/>
    </row>
    <row r="325" spans="1:26" ht="25" customHeight="1" outlineLevel="1" x14ac:dyDescent="0.35">
      <c r="B325" s="154"/>
      <c r="C325" s="154"/>
      <c r="D325" s="154"/>
      <c r="E325" s="6" t="s">
        <v>13</v>
      </c>
      <c r="F325" s="32" t="s">
        <v>17</v>
      </c>
      <c r="G325" s="37"/>
      <c r="H325" s="61">
        <f t="shared" si="28"/>
        <v>11000</v>
      </c>
      <c r="I325" s="61">
        <f t="shared" si="29"/>
        <v>3200</v>
      </c>
      <c r="J325" s="62">
        <f t="shared" si="30"/>
        <v>64</v>
      </c>
      <c r="K325" s="154"/>
      <c r="L325" s="45"/>
      <c r="U325" s="121" t="str" cm="1">
        <f t="array" ref="U325">IF(C325="",INDEX(C319:C325,MATCH(TRUE,INDEX((C319:C325&lt;&gt;""),0),0)),C325)</f>
        <v>BOS Principle</v>
      </c>
      <c r="V325" s="122">
        <f t="shared" si="27"/>
        <v>1</v>
      </c>
      <c r="W325" s="124">
        <v>20000</v>
      </c>
      <c r="X325" s="122"/>
      <c r="Y325" s="122">
        <f t="shared" si="26"/>
        <v>21388</v>
      </c>
      <c r="Z325" s="123"/>
    </row>
    <row r="326" spans="1:26" ht="25" customHeight="1" outlineLevel="1" x14ac:dyDescent="0.35">
      <c r="B326" s="154"/>
      <c r="C326" s="154"/>
      <c r="D326" s="154"/>
      <c r="E326" s="6" t="s">
        <v>113</v>
      </c>
      <c r="F326" s="32" t="s">
        <v>21</v>
      </c>
      <c r="G326" s="37"/>
      <c r="H326" s="61" t="str">
        <f t="shared" si="28"/>
        <v/>
      </c>
      <c r="I326" s="61" t="str">
        <f t="shared" si="29"/>
        <v/>
      </c>
      <c r="J326" s="62" t="str">
        <f t="shared" si="30"/>
        <v/>
      </c>
      <c r="K326" s="154"/>
      <c r="L326" s="45"/>
      <c r="U326" s="121" t="str" cm="1">
        <f t="array" ref="U326">IF(C326="",INDEX(C320:C326,MATCH(TRUE,INDEX((C320:C326&lt;&gt;""),0),0)),C326)</f>
        <v>BOS Principle</v>
      </c>
      <c r="V326" s="122">
        <f t="shared" si="27"/>
        <v>1</v>
      </c>
      <c r="W326" s="124">
        <v>20000</v>
      </c>
      <c r="X326" s="122"/>
      <c r="Y326" s="122">
        <f t="shared" si="26"/>
        <v>21388</v>
      </c>
      <c r="Z326" s="123"/>
    </row>
    <row r="327" spans="1:26" ht="25" customHeight="1" outlineLevel="1" x14ac:dyDescent="0.35">
      <c r="B327" s="154"/>
      <c r="C327" s="154"/>
      <c r="D327" s="154"/>
      <c r="E327" s="6" t="s">
        <v>112</v>
      </c>
      <c r="F327" s="32" t="s">
        <v>17</v>
      </c>
      <c r="G327" s="37"/>
      <c r="H327" s="61">
        <f t="shared" si="28"/>
        <v>8000</v>
      </c>
      <c r="I327" s="61">
        <f t="shared" si="29"/>
        <v>1000</v>
      </c>
      <c r="J327" s="62">
        <f t="shared" si="30"/>
        <v>40</v>
      </c>
      <c r="K327" s="154"/>
      <c r="L327" s="45" t="s">
        <v>176</v>
      </c>
      <c r="U327" s="121" t="str" cm="1">
        <f t="array" ref="U327">IF(C327="",INDEX(C321:C327,MATCH(TRUE,INDEX((C321:C327&lt;&gt;""),0),0)),C327)</f>
        <v>BOS Principle</v>
      </c>
      <c r="V327" s="122">
        <f t="shared" si="27"/>
        <v>1</v>
      </c>
      <c r="W327" s="124">
        <v>20000</v>
      </c>
      <c r="X327" s="122"/>
      <c r="Y327" s="122">
        <f t="shared" si="26"/>
        <v>21388</v>
      </c>
      <c r="Z327" s="123"/>
    </row>
    <row r="328" spans="1:26" ht="25" customHeight="1" outlineLevel="1" x14ac:dyDescent="0.35">
      <c r="B328" s="154"/>
      <c r="C328" s="154"/>
      <c r="D328" s="154"/>
      <c r="E328" s="6" t="s">
        <v>295</v>
      </c>
      <c r="F328" s="32" t="s">
        <v>21</v>
      </c>
      <c r="G328" s="37"/>
      <c r="H328" s="61"/>
      <c r="I328" s="61"/>
      <c r="J328" s="62"/>
      <c r="K328" s="154"/>
      <c r="L328" s="45"/>
      <c r="U328" s="121"/>
      <c r="V328" s="122"/>
      <c r="W328" s="124"/>
      <c r="X328" s="122"/>
      <c r="Y328" s="122"/>
      <c r="Z328" s="123"/>
    </row>
    <row r="329" spans="1:26" ht="25" customHeight="1" outlineLevel="1" x14ac:dyDescent="0.35">
      <c r="B329" s="154"/>
      <c r="C329" s="154"/>
      <c r="D329" s="154"/>
      <c r="E329" s="6" t="s">
        <v>109</v>
      </c>
      <c r="F329" s="32" t="s">
        <v>21</v>
      </c>
      <c r="G329" s="37"/>
      <c r="H329" s="61" t="str">
        <f t="shared" si="28"/>
        <v/>
      </c>
      <c r="I329" s="61" t="str">
        <f t="shared" si="29"/>
        <v/>
      </c>
      <c r="J329" s="62" t="str">
        <f t="shared" si="30"/>
        <v/>
      </c>
      <c r="K329" s="154"/>
      <c r="L329" s="45"/>
      <c r="U329" s="121" t="str" cm="1">
        <f t="array" ref="U329">IF(C329="",INDEX(C322:C329,MATCH(TRUE,INDEX((C322:C329&lt;&gt;""),0),0)),C329)</f>
        <v>BOS Principle</v>
      </c>
      <c r="V329" s="122">
        <f t="shared" si="27"/>
        <v>1</v>
      </c>
      <c r="W329" s="124">
        <v>20000</v>
      </c>
      <c r="X329" s="122"/>
      <c r="Y329" s="122">
        <f t="shared" si="26"/>
        <v>21388</v>
      </c>
      <c r="Z329" s="123"/>
    </row>
    <row r="330" spans="1:26" ht="25" customHeight="1" outlineLevel="1" x14ac:dyDescent="0.35">
      <c r="B330" s="155"/>
      <c r="C330" s="155"/>
      <c r="D330" s="155"/>
      <c r="E330" s="7" t="s">
        <v>14</v>
      </c>
      <c r="F330" s="32" t="s">
        <v>108</v>
      </c>
      <c r="G330" s="37"/>
      <c r="H330" s="61" t="str">
        <f t="shared" si="28"/>
        <v/>
      </c>
      <c r="I330" s="61" t="str">
        <f t="shared" si="29"/>
        <v/>
      </c>
      <c r="J330" s="62" t="str">
        <f t="shared" si="30"/>
        <v/>
      </c>
      <c r="K330" s="155"/>
      <c r="L330" s="46"/>
      <c r="U330" s="121" t="str" cm="1">
        <f t="array" ref="U330">IF(C330="",INDEX(C323:C330,MATCH(TRUE,INDEX((C323:C330&lt;&gt;""),0),0)),C330)</f>
        <v>BOS Principle</v>
      </c>
      <c r="V330" s="122">
        <f t="shared" si="27"/>
        <v>1</v>
      </c>
      <c r="W330" s="124">
        <v>20000</v>
      </c>
      <c r="X330" s="122"/>
      <c r="Y330" s="122">
        <f t="shared" si="26"/>
        <v>21388</v>
      </c>
      <c r="Z330" s="123"/>
    </row>
    <row r="331" spans="1:26" ht="30" customHeight="1" x14ac:dyDescent="0.35">
      <c r="A331" s="8" t="s">
        <v>136</v>
      </c>
      <c r="B331" s="150">
        <v>55</v>
      </c>
      <c r="C331" s="150" t="s">
        <v>84</v>
      </c>
      <c r="D331" s="150" t="s">
        <v>72</v>
      </c>
      <c r="E331" s="26" t="s">
        <v>105</v>
      </c>
      <c r="F331" s="31"/>
      <c r="G331" s="34"/>
      <c r="H331" s="55" t="str">
        <f t="shared" si="28"/>
        <v/>
      </c>
      <c r="I331" s="55" t="str">
        <f t="shared" si="29"/>
        <v/>
      </c>
      <c r="J331" s="56" t="str">
        <f t="shared" si="30"/>
        <v/>
      </c>
      <c r="K331" s="2"/>
      <c r="L331" s="41"/>
      <c r="U331" s="121" t="str" cm="1">
        <f t="array" ref="U331">IF(C331="",INDEX(C324:C331,MATCH(TRUE,INDEX((C324:C331&lt;&gt;""),0),0)),C331)</f>
        <v>BOS Prudence</v>
      </c>
      <c r="V331" s="122">
        <f t="shared" si="27"/>
        <v>0.94286515803254156</v>
      </c>
      <c r="W331" s="124">
        <v>20000</v>
      </c>
      <c r="X331" s="122"/>
      <c r="Y331" s="122">
        <f t="shared" si="26"/>
        <v>20166</v>
      </c>
      <c r="Z331" s="123"/>
    </row>
    <row r="332" spans="1:26" ht="25" customHeight="1" outlineLevel="1" x14ac:dyDescent="0.35">
      <c r="B332" s="151"/>
      <c r="C332" s="151"/>
      <c r="D332" s="151"/>
      <c r="E332" s="3" t="s">
        <v>13</v>
      </c>
      <c r="F332" s="31" t="s">
        <v>17</v>
      </c>
      <c r="G332" s="35"/>
      <c r="H332" s="57">
        <f t="shared" si="28"/>
        <v>10371.516738357957</v>
      </c>
      <c r="I332" s="57">
        <f t="shared" si="29"/>
        <v>3017.1685057041332</v>
      </c>
      <c r="J332" s="58">
        <f t="shared" si="30"/>
        <v>60.34337011408266</v>
      </c>
      <c r="K332" s="3"/>
      <c r="L332" s="42" t="s">
        <v>182</v>
      </c>
      <c r="U332" s="121" t="str" cm="1">
        <f t="array" ref="U332">IF(C332="",INDEX(C325:C332,MATCH(TRUE,INDEX((C325:C332&lt;&gt;""),0),0)),C332)</f>
        <v>BOS Prudence</v>
      </c>
      <c r="V332" s="122">
        <f t="shared" si="27"/>
        <v>0.94286515803254156</v>
      </c>
      <c r="W332" s="124">
        <v>20000</v>
      </c>
      <c r="X332" s="122"/>
      <c r="Y332" s="122">
        <f t="shared" si="26"/>
        <v>20166</v>
      </c>
      <c r="Z332" s="123"/>
    </row>
    <row r="333" spans="1:26" ht="25" customHeight="1" outlineLevel="1" x14ac:dyDescent="0.35">
      <c r="B333" s="151"/>
      <c r="C333" s="151"/>
      <c r="D333" s="151"/>
      <c r="E333" s="3" t="s">
        <v>113</v>
      </c>
      <c r="F333" s="31" t="s">
        <v>21</v>
      </c>
      <c r="G333" s="35"/>
      <c r="H333" s="57" t="str">
        <f t="shared" si="28"/>
        <v/>
      </c>
      <c r="I333" s="57" t="str">
        <f t="shared" si="29"/>
        <v/>
      </c>
      <c r="J333" s="58" t="str">
        <f t="shared" si="30"/>
        <v/>
      </c>
      <c r="K333" s="3"/>
      <c r="L333" s="42"/>
      <c r="U333" s="121" t="str" cm="1">
        <f t="array" ref="U333">IF(C333="",INDEX(C326:C333,MATCH(TRUE,INDEX((C326:C333&lt;&gt;""),0),0)),C333)</f>
        <v>BOS Prudence</v>
      </c>
      <c r="V333" s="122">
        <f t="shared" si="27"/>
        <v>0.94286515803254156</v>
      </c>
      <c r="W333" s="124">
        <v>20000</v>
      </c>
      <c r="X333" s="122"/>
      <c r="Y333" s="122">
        <f t="shared" si="26"/>
        <v>20166</v>
      </c>
      <c r="Z333" s="123"/>
    </row>
    <row r="334" spans="1:26" ht="25" customHeight="1" outlineLevel="1" x14ac:dyDescent="0.35">
      <c r="B334" s="151"/>
      <c r="C334" s="151"/>
      <c r="D334" s="151"/>
      <c r="E334" s="3" t="s">
        <v>112</v>
      </c>
      <c r="F334" s="31" t="s">
        <v>17</v>
      </c>
      <c r="G334" s="35"/>
      <c r="H334" s="57">
        <f t="shared" si="28"/>
        <v>7542.9212642603325</v>
      </c>
      <c r="I334" s="57">
        <f t="shared" si="29"/>
        <v>942.86515803254156</v>
      </c>
      <c r="J334" s="58">
        <f t="shared" si="30"/>
        <v>37.714606321301659</v>
      </c>
      <c r="K334" s="3"/>
      <c r="L334" s="42" t="s">
        <v>183</v>
      </c>
      <c r="U334" s="121" t="str" cm="1">
        <f t="array" ref="U334">IF(C334="",INDEX(C327:C334,MATCH(TRUE,INDEX((C327:C334&lt;&gt;""),0),0)),C334)</f>
        <v>BOS Prudence</v>
      </c>
      <c r="V334" s="122">
        <f t="shared" si="27"/>
        <v>0.94286515803254156</v>
      </c>
      <c r="W334" s="124">
        <v>20000</v>
      </c>
      <c r="X334" s="122"/>
      <c r="Y334" s="122">
        <f t="shared" si="26"/>
        <v>20166</v>
      </c>
      <c r="Z334" s="123"/>
    </row>
    <row r="335" spans="1:26" ht="25" customHeight="1" outlineLevel="1" x14ac:dyDescent="0.35">
      <c r="B335" s="151"/>
      <c r="C335" s="151"/>
      <c r="D335" s="151"/>
      <c r="E335" s="3" t="s">
        <v>109</v>
      </c>
      <c r="F335" s="31" t="s">
        <v>21</v>
      </c>
      <c r="G335" s="35"/>
      <c r="H335" s="57" t="str">
        <f t="shared" si="28"/>
        <v/>
      </c>
      <c r="I335" s="57" t="str">
        <f t="shared" si="29"/>
        <v/>
      </c>
      <c r="J335" s="58" t="str">
        <f t="shared" si="30"/>
        <v/>
      </c>
      <c r="K335" s="3"/>
      <c r="L335" s="42"/>
      <c r="U335" s="121" t="str" cm="1">
        <f t="array" ref="U335">IF(C335="",INDEX(C329:C335,MATCH(TRUE,INDEX((C329:C335&lt;&gt;""),0),0)),C335)</f>
        <v>BOS Prudence</v>
      </c>
      <c r="V335" s="122">
        <f t="shared" si="27"/>
        <v>0.94286515803254156</v>
      </c>
      <c r="W335" s="124">
        <v>20000</v>
      </c>
      <c r="X335" s="122"/>
      <c r="Y335" s="122">
        <f t="shared" ref="Y335:Y399" si="31">INT(VLOOKUP(U335, $AB$30:$AH$98, 7, FALSE))</f>
        <v>20166</v>
      </c>
      <c r="Z335" s="123"/>
    </row>
    <row r="336" spans="1:26" ht="25" customHeight="1" outlineLevel="1" x14ac:dyDescent="0.35">
      <c r="B336" s="152"/>
      <c r="C336" s="152"/>
      <c r="D336" s="152"/>
      <c r="E336" s="4" t="s">
        <v>14</v>
      </c>
      <c r="F336" s="31" t="s">
        <v>17</v>
      </c>
      <c r="G336" s="39"/>
      <c r="H336" s="65">
        <f t="shared" si="28"/>
        <v>2357.1628950813538</v>
      </c>
      <c r="I336" s="65">
        <f t="shared" si="29"/>
        <v>3017.1685057041332</v>
      </c>
      <c r="J336" s="66">
        <f t="shared" si="30"/>
        <v>10.371516738357958</v>
      </c>
      <c r="K336" s="4"/>
      <c r="L336" s="43" t="s">
        <v>184</v>
      </c>
      <c r="U336" s="121" t="str" cm="1">
        <f t="array" ref="U336">IF(C336="",INDEX(C330:C336,MATCH(TRUE,INDEX((C330:C336&lt;&gt;""),0),0)),C336)</f>
        <v>BOS Prudence</v>
      </c>
      <c r="V336" s="122">
        <f t="shared" ref="V336:V400" si="32">MIN(Y336/21388,1.3)</f>
        <v>0.94286515803254156</v>
      </c>
      <c r="W336" s="124">
        <v>20000</v>
      </c>
      <c r="X336" s="122"/>
      <c r="Y336" s="122">
        <f t="shared" si="31"/>
        <v>20166</v>
      </c>
      <c r="Z336" s="123"/>
    </row>
    <row r="337" spans="1:26" ht="30" customHeight="1" x14ac:dyDescent="0.35">
      <c r="A337" s="8" t="s">
        <v>136</v>
      </c>
      <c r="B337" s="153">
        <v>56</v>
      </c>
      <c r="C337" s="153" t="s">
        <v>85</v>
      </c>
      <c r="D337" s="153" t="s">
        <v>72</v>
      </c>
      <c r="E337" s="27" t="s">
        <v>105</v>
      </c>
      <c r="F337" s="32"/>
      <c r="G337" s="37"/>
      <c r="H337" s="61" t="str">
        <f t="shared" si="28"/>
        <v/>
      </c>
      <c r="I337" s="61" t="str">
        <f t="shared" si="29"/>
        <v/>
      </c>
      <c r="J337" s="62" t="str">
        <f t="shared" si="30"/>
        <v/>
      </c>
      <c r="K337" s="6"/>
      <c r="L337" s="44"/>
      <c r="U337" s="121" t="str" cm="1">
        <f t="array" ref="U337">IF(C337="",INDEX(C331:C337,MATCH(TRUE,INDEX((C331:C337&lt;&gt;""),0),0)),C337)</f>
        <v>BOS Purpose</v>
      </c>
      <c r="V337" s="122">
        <f t="shared" si="32"/>
        <v>0.94286515803254156</v>
      </c>
      <c r="W337" s="124">
        <v>20000</v>
      </c>
      <c r="X337" s="122"/>
      <c r="Y337" s="122">
        <f t="shared" si="31"/>
        <v>20166</v>
      </c>
      <c r="Z337" s="123"/>
    </row>
    <row r="338" spans="1:26" ht="25" customHeight="1" outlineLevel="1" x14ac:dyDescent="0.35">
      <c r="B338" s="154"/>
      <c r="C338" s="154"/>
      <c r="D338" s="154"/>
      <c r="E338" s="6" t="s">
        <v>13</v>
      </c>
      <c r="F338" s="32" t="s">
        <v>17</v>
      </c>
      <c r="G338" s="37"/>
      <c r="H338" s="61">
        <f t="shared" si="28"/>
        <v>10371.516738357957</v>
      </c>
      <c r="I338" s="61">
        <f t="shared" si="29"/>
        <v>3017.1685057041332</v>
      </c>
      <c r="J338" s="62">
        <f t="shared" si="30"/>
        <v>60.34337011408266</v>
      </c>
      <c r="K338" s="6"/>
      <c r="L338" s="45"/>
      <c r="U338" s="121" t="str" cm="1">
        <f t="array" ref="U338">IF(C338="",INDEX(C332:C338,MATCH(TRUE,INDEX((C332:C338&lt;&gt;""),0),0)),C338)</f>
        <v>BOS Purpose</v>
      </c>
      <c r="V338" s="122">
        <f t="shared" si="32"/>
        <v>0.94286515803254156</v>
      </c>
      <c r="W338" s="124">
        <v>20000</v>
      </c>
      <c r="X338" s="122"/>
      <c r="Y338" s="122">
        <f t="shared" si="31"/>
        <v>20166</v>
      </c>
      <c r="Z338" s="123"/>
    </row>
    <row r="339" spans="1:26" ht="25" customHeight="1" outlineLevel="1" x14ac:dyDescent="0.35">
      <c r="B339" s="154"/>
      <c r="C339" s="154"/>
      <c r="D339" s="154"/>
      <c r="E339" s="6" t="s">
        <v>113</v>
      </c>
      <c r="F339" s="32" t="s">
        <v>21</v>
      </c>
      <c r="G339" s="37"/>
      <c r="H339" s="61" t="str">
        <f t="shared" si="28"/>
        <v/>
      </c>
      <c r="I339" s="61" t="str">
        <f t="shared" si="29"/>
        <v/>
      </c>
      <c r="J339" s="62" t="str">
        <f t="shared" si="30"/>
        <v/>
      </c>
      <c r="K339" s="6"/>
      <c r="L339" s="45"/>
      <c r="U339" s="121" t="str" cm="1">
        <f t="array" ref="U339">IF(C339="",INDEX(C333:C339,MATCH(TRUE,INDEX((C333:C339&lt;&gt;""),0),0)),C339)</f>
        <v>BOS Purpose</v>
      </c>
      <c r="V339" s="122">
        <f t="shared" si="32"/>
        <v>0.94286515803254156</v>
      </c>
      <c r="W339" s="124">
        <v>20000</v>
      </c>
      <c r="X339" s="122"/>
      <c r="Y339" s="122">
        <f t="shared" si="31"/>
        <v>20166</v>
      </c>
      <c r="Z339" s="123"/>
    </row>
    <row r="340" spans="1:26" ht="25" customHeight="1" outlineLevel="1" x14ac:dyDescent="0.35">
      <c r="B340" s="154"/>
      <c r="C340" s="154"/>
      <c r="D340" s="154"/>
      <c r="E340" s="6" t="s">
        <v>112</v>
      </c>
      <c r="F340" s="32" t="s">
        <v>21</v>
      </c>
      <c r="G340" s="37"/>
      <c r="H340" s="61" t="str">
        <f t="shared" si="28"/>
        <v/>
      </c>
      <c r="I340" s="61" t="str">
        <f t="shared" si="29"/>
        <v/>
      </c>
      <c r="J340" s="62" t="str">
        <f t="shared" si="30"/>
        <v/>
      </c>
      <c r="K340" s="6"/>
      <c r="L340" s="45" t="s">
        <v>267</v>
      </c>
      <c r="U340" s="121" t="str" cm="1">
        <f t="array" ref="U340">IF(C340="",INDEX(C334:C340,MATCH(TRUE,INDEX((C334:C340&lt;&gt;""),0),0)),C340)</f>
        <v>BOS Purpose</v>
      </c>
      <c r="V340" s="122">
        <f t="shared" si="32"/>
        <v>0.94286515803254156</v>
      </c>
      <c r="W340" s="124">
        <v>20000</v>
      </c>
      <c r="X340" s="122"/>
      <c r="Y340" s="122">
        <f t="shared" si="31"/>
        <v>20166</v>
      </c>
      <c r="Z340" s="123"/>
    </row>
    <row r="341" spans="1:26" ht="25" customHeight="1" outlineLevel="1" x14ac:dyDescent="0.35">
      <c r="B341" s="154"/>
      <c r="C341" s="154"/>
      <c r="D341" s="154"/>
      <c r="E341" s="6" t="s">
        <v>295</v>
      </c>
      <c r="F341" s="32" t="s">
        <v>21</v>
      </c>
      <c r="G341" s="37"/>
      <c r="H341" s="61"/>
      <c r="I341" s="61"/>
      <c r="J341" s="62"/>
      <c r="K341" s="6"/>
      <c r="L341" s="45"/>
      <c r="U341" s="121"/>
      <c r="V341" s="122"/>
      <c r="W341" s="124"/>
      <c r="X341" s="122"/>
      <c r="Y341" s="122"/>
      <c r="Z341" s="123"/>
    </row>
    <row r="342" spans="1:26" ht="25" customHeight="1" outlineLevel="1" x14ac:dyDescent="0.35">
      <c r="B342" s="154"/>
      <c r="C342" s="154"/>
      <c r="D342" s="154"/>
      <c r="E342" s="6" t="s">
        <v>109</v>
      </c>
      <c r="F342" s="32" t="s">
        <v>108</v>
      </c>
      <c r="G342" s="37"/>
      <c r="H342" s="61" t="str">
        <f t="shared" si="28"/>
        <v/>
      </c>
      <c r="I342" s="61" t="str">
        <f t="shared" si="29"/>
        <v/>
      </c>
      <c r="J342" s="62" t="str">
        <f t="shared" si="30"/>
        <v/>
      </c>
      <c r="K342" s="6"/>
      <c r="L342" s="45" t="s">
        <v>266</v>
      </c>
      <c r="U342" s="121" t="str" cm="1">
        <f t="array" ref="U342">IF(C342="",INDEX(C335:C342,MATCH(TRUE,INDEX((C335:C342&lt;&gt;""),0),0)),C342)</f>
        <v>BOS Purpose</v>
      </c>
      <c r="V342" s="122">
        <f t="shared" si="32"/>
        <v>0.94286515803254156</v>
      </c>
      <c r="W342" s="124">
        <v>20000</v>
      </c>
      <c r="X342" s="122"/>
      <c r="Y342" s="122">
        <f t="shared" si="31"/>
        <v>20166</v>
      </c>
      <c r="Z342" s="123"/>
    </row>
    <row r="343" spans="1:26" ht="25" customHeight="1" outlineLevel="1" x14ac:dyDescent="0.35">
      <c r="B343" s="155"/>
      <c r="C343" s="155"/>
      <c r="D343" s="155"/>
      <c r="E343" s="7" t="s">
        <v>14</v>
      </c>
      <c r="F343" s="32" t="s">
        <v>108</v>
      </c>
      <c r="G343" s="37"/>
      <c r="H343" s="61" t="str">
        <f t="shared" si="28"/>
        <v/>
      </c>
      <c r="I343" s="61" t="str">
        <f t="shared" si="29"/>
        <v/>
      </c>
      <c r="J343" s="62" t="str">
        <f t="shared" si="30"/>
        <v/>
      </c>
      <c r="K343" s="6"/>
      <c r="L343" s="46"/>
      <c r="U343" s="121" t="str" cm="1">
        <f t="array" ref="U343">IF(C343="",INDEX(C336:C343,MATCH(TRUE,INDEX((C336:C343&lt;&gt;""),0),0)),C343)</f>
        <v>BOS Purpose</v>
      </c>
      <c r="V343" s="122">
        <f t="shared" si="32"/>
        <v>0.94286515803254156</v>
      </c>
      <c r="W343" s="124">
        <v>20000</v>
      </c>
      <c r="X343" s="122"/>
      <c r="Y343" s="122">
        <f t="shared" si="31"/>
        <v>20166</v>
      </c>
      <c r="Z343" s="123"/>
    </row>
    <row r="344" spans="1:26" ht="30" customHeight="1" x14ac:dyDescent="0.35">
      <c r="A344" s="8" t="s">
        <v>136</v>
      </c>
      <c r="B344" s="150">
        <v>57</v>
      </c>
      <c r="C344" s="150" t="s">
        <v>86</v>
      </c>
      <c r="D344" s="150" t="s">
        <v>87</v>
      </c>
      <c r="E344" s="26" t="s">
        <v>105</v>
      </c>
      <c r="F344" s="31"/>
      <c r="G344" s="34"/>
      <c r="H344" s="55" t="str">
        <f t="shared" si="28"/>
        <v/>
      </c>
      <c r="I344" s="55" t="str">
        <f t="shared" si="29"/>
        <v/>
      </c>
      <c r="J344" s="56" t="str">
        <f t="shared" si="30"/>
        <v/>
      </c>
      <c r="K344" s="2"/>
      <c r="L344" s="41"/>
      <c r="U344" s="121" t="str" cm="1">
        <f t="array" ref="U344">IF(C344="",INDEX(C337:C344,MATCH(TRUE,INDEX((C337:C344&lt;&gt;""),0),0)),C344)</f>
        <v>Britoil Diamond</v>
      </c>
      <c r="V344" s="122">
        <f t="shared" si="32"/>
        <v>0.98087712736113708</v>
      </c>
      <c r="W344" s="124">
        <v>20000</v>
      </c>
      <c r="X344" s="122"/>
      <c r="Y344" s="122">
        <f t="shared" si="31"/>
        <v>20979</v>
      </c>
      <c r="Z344" s="123"/>
    </row>
    <row r="345" spans="1:26" ht="25" customHeight="1" outlineLevel="1" x14ac:dyDescent="0.35">
      <c r="B345" s="151"/>
      <c r="C345" s="151"/>
      <c r="D345" s="151"/>
      <c r="E345" s="3" t="s">
        <v>13</v>
      </c>
      <c r="F345" s="31" t="s">
        <v>17</v>
      </c>
      <c r="G345" s="35"/>
      <c r="H345" s="57">
        <f t="shared" si="28"/>
        <v>10789.648400972508</v>
      </c>
      <c r="I345" s="57">
        <f t="shared" si="29"/>
        <v>3138.8068075556384</v>
      </c>
      <c r="J345" s="58">
        <f t="shared" si="30"/>
        <v>62.776136151112773</v>
      </c>
      <c r="K345" s="3"/>
      <c r="L345" s="42" t="s">
        <v>264</v>
      </c>
      <c r="U345" s="121" t="str" cm="1">
        <f t="array" ref="U345">IF(C345="",INDEX(C338:C345,MATCH(TRUE,INDEX((C338:C345&lt;&gt;""),0),0)),C345)</f>
        <v>Britoil Diamond</v>
      </c>
      <c r="V345" s="122">
        <f t="shared" si="32"/>
        <v>0.98087712736113708</v>
      </c>
      <c r="W345" s="124">
        <v>20000</v>
      </c>
      <c r="X345" s="122"/>
      <c r="Y345" s="122">
        <f t="shared" si="31"/>
        <v>20979</v>
      </c>
      <c r="Z345" s="123"/>
    </row>
    <row r="346" spans="1:26" ht="25" customHeight="1" outlineLevel="1" x14ac:dyDescent="0.35">
      <c r="B346" s="151"/>
      <c r="C346" s="151"/>
      <c r="D346" s="151"/>
      <c r="E346" s="3" t="s">
        <v>113</v>
      </c>
      <c r="F346" s="31" t="s">
        <v>108</v>
      </c>
      <c r="G346" s="35"/>
      <c r="H346" s="57" t="str">
        <f t="shared" si="28"/>
        <v/>
      </c>
      <c r="I346" s="57" t="str">
        <f t="shared" si="29"/>
        <v/>
      </c>
      <c r="J346" s="58" t="str">
        <f t="shared" si="30"/>
        <v/>
      </c>
      <c r="K346" s="3"/>
      <c r="L346" s="42" t="s">
        <v>265</v>
      </c>
      <c r="U346" s="121" t="str" cm="1">
        <f t="array" ref="U346">IF(C346="",INDEX(C339:C346,MATCH(TRUE,INDEX((C339:C346&lt;&gt;""),0),0)),C346)</f>
        <v>Britoil Diamond</v>
      </c>
      <c r="V346" s="122">
        <f t="shared" si="32"/>
        <v>0.98087712736113708</v>
      </c>
      <c r="W346" s="124">
        <v>20000</v>
      </c>
      <c r="X346" s="122"/>
      <c r="Y346" s="122">
        <f t="shared" si="31"/>
        <v>20979</v>
      </c>
      <c r="Z346" s="123"/>
    </row>
    <row r="347" spans="1:26" ht="25" customHeight="1" outlineLevel="1" x14ac:dyDescent="0.35">
      <c r="B347" s="151"/>
      <c r="C347" s="151"/>
      <c r="D347" s="151"/>
      <c r="E347" s="3" t="s">
        <v>112</v>
      </c>
      <c r="F347" s="31" t="s">
        <v>21</v>
      </c>
      <c r="G347" s="35"/>
      <c r="H347" s="57" t="str">
        <f t="shared" si="28"/>
        <v/>
      </c>
      <c r="I347" s="57" t="str">
        <f t="shared" si="29"/>
        <v/>
      </c>
      <c r="J347" s="58" t="str">
        <f t="shared" si="30"/>
        <v/>
      </c>
      <c r="K347" s="3"/>
      <c r="L347" s="42" t="s">
        <v>263</v>
      </c>
      <c r="U347" s="121" t="str" cm="1">
        <f t="array" ref="U347">IF(C347="",INDEX(C340:C347,MATCH(TRUE,INDEX((C340:C347&lt;&gt;""),0),0)),C347)</f>
        <v>Britoil Diamond</v>
      </c>
      <c r="V347" s="122">
        <f t="shared" si="32"/>
        <v>0.98087712736113708</v>
      </c>
      <c r="W347" s="124">
        <v>20000</v>
      </c>
      <c r="X347" s="122"/>
      <c r="Y347" s="122">
        <f t="shared" si="31"/>
        <v>20979</v>
      </c>
      <c r="Z347" s="123"/>
    </row>
    <row r="348" spans="1:26" ht="25" customHeight="1" outlineLevel="1" x14ac:dyDescent="0.35">
      <c r="B348" s="151"/>
      <c r="C348" s="151"/>
      <c r="D348" s="151"/>
      <c r="E348" s="3" t="s">
        <v>109</v>
      </c>
      <c r="F348" s="31" t="s">
        <v>17</v>
      </c>
      <c r="G348" s="35"/>
      <c r="H348" s="57">
        <f t="shared" si="28"/>
        <v>8141.280157097438</v>
      </c>
      <c r="I348" s="57">
        <f t="shared" si="29"/>
        <v>980.87712736113713</v>
      </c>
      <c r="J348" s="58">
        <f t="shared" si="30"/>
        <v>44.139470731251166</v>
      </c>
      <c r="K348" s="3"/>
      <c r="L348" s="42" t="s">
        <v>262</v>
      </c>
      <c r="U348" s="121" t="str" cm="1">
        <f t="array" ref="U348">IF(C348="",INDEX(C342:C348,MATCH(TRUE,INDEX((C342:C348&lt;&gt;""),0),0)),C348)</f>
        <v>Britoil Diamond</v>
      </c>
      <c r="V348" s="122">
        <f t="shared" si="32"/>
        <v>0.98087712736113708</v>
      </c>
      <c r="W348" s="124">
        <v>20000</v>
      </c>
      <c r="X348" s="122"/>
      <c r="Y348" s="122">
        <f t="shared" si="31"/>
        <v>20979</v>
      </c>
      <c r="Z348" s="123"/>
    </row>
    <row r="349" spans="1:26" ht="25" customHeight="1" outlineLevel="1" x14ac:dyDescent="0.35">
      <c r="B349" s="152"/>
      <c r="C349" s="152"/>
      <c r="D349" s="152"/>
      <c r="E349" s="4" t="s">
        <v>14</v>
      </c>
      <c r="F349" s="31" t="s">
        <v>108</v>
      </c>
      <c r="G349" s="39"/>
      <c r="H349" s="65" t="str">
        <f t="shared" si="28"/>
        <v/>
      </c>
      <c r="I349" s="65" t="str">
        <f t="shared" si="29"/>
        <v/>
      </c>
      <c r="J349" s="66" t="str">
        <f t="shared" si="30"/>
        <v/>
      </c>
      <c r="K349" s="4"/>
      <c r="L349" s="43"/>
      <c r="U349" s="121" t="str" cm="1">
        <f t="array" ref="U349">IF(C349="",INDEX(C343:C349,MATCH(TRUE,INDEX((C343:C349&lt;&gt;""),0),0)),C349)</f>
        <v>Britoil Diamond</v>
      </c>
      <c r="V349" s="122">
        <f t="shared" si="32"/>
        <v>0.98087712736113708</v>
      </c>
      <c r="W349" s="124">
        <v>20000</v>
      </c>
      <c r="X349" s="122"/>
      <c r="Y349" s="122">
        <f t="shared" si="31"/>
        <v>20979</v>
      </c>
      <c r="Z349" s="123"/>
    </row>
    <row r="350" spans="1:26" ht="30" customHeight="1" x14ac:dyDescent="0.35">
      <c r="A350" s="8" t="s">
        <v>136</v>
      </c>
      <c r="B350" s="153">
        <v>58</v>
      </c>
      <c r="C350" s="153" t="s">
        <v>261</v>
      </c>
      <c r="D350" s="153" t="s">
        <v>88</v>
      </c>
      <c r="E350" s="27" t="s">
        <v>105</v>
      </c>
      <c r="F350" s="32"/>
      <c r="G350" s="37"/>
      <c r="H350" s="61" t="str">
        <f t="shared" si="28"/>
        <v/>
      </c>
      <c r="I350" s="61" t="str">
        <f t="shared" si="29"/>
        <v/>
      </c>
      <c r="J350" s="62" t="str">
        <f t="shared" si="30"/>
        <v/>
      </c>
      <c r="K350" s="6"/>
      <c r="L350" s="44"/>
      <c r="U350" s="121" t="str" cm="1">
        <f t="array" ref="U350">IF(C350="",INDEX(C344:C350,MATCH(TRUE,INDEX((C344:C350&lt;&gt;""),0),0)),C350)</f>
        <v>Britoil Defender</v>
      </c>
      <c r="V350" s="122">
        <f t="shared" si="32"/>
        <v>1.2857677202169442</v>
      </c>
      <c r="W350" s="124">
        <v>20000</v>
      </c>
      <c r="X350" s="122"/>
      <c r="Y350" s="122">
        <f t="shared" si="31"/>
        <v>27500</v>
      </c>
      <c r="Z350" s="123"/>
    </row>
    <row r="351" spans="1:26" ht="25" customHeight="1" outlineLevel="1" x14ac:dyDescent="0.35">
      <c r="B351" s="154"/>
      <c r="C351" s="154"/>
      <c r="D351" s="154"/>
      <c r="E351" s="6" t="s">
        <v>13</v>
      </c>
      <c r="F351" s="32" t="s">
        <v>21</v>
      </c>
      <c r="G351" s="37"/>
      <c r="H351" s="61" t="str">
        <f t="shared" si="28"/>
        <v/>
      </c>
      <c r="I351" s="61" t="str">
        <f t="shared" si="29"/>
        <v/>
      </c>
      <c r="J351" s="62" t="str">
        <f t="shared" si="30"/>
        <v/>
      </c>
      <c r="K351" s="6"/>
      <c r="L351" s="45"/>
      <c r="U351" s="121" t="str" cm="1">
        <f t="array" ref="U351">IF(C351="",INDEX(C345:C351,MATCH(TRUE,INDEX((C345:C351&lt;&gt;""),0),0)),C351)</f>
        <v>Britoil Defender</v>
      </c>
      <c r="V351" s="122">
        <f t="shared" si="32"/>
        <v>1.2857677202169442</v>
      </c>
      <c r="W351" s="124">
        <v>20000</v>
      </c>
      <c r="X351" s="122"/>
      <c r="Y351" s="122">
        <f t="shared" si="31"/>
        <v>27500</v>
      </c>
      <c r="Z351" s="123"/>
    </row>
    <row r="352" spans="1:26" ht="25" customHeight="1" outlineLevel="1" x14ac:dyDescent="0.35">
      <c r="B352" s="154"/>
      <c r="C352" s="154"/>
      <c r="D352" s="154"/>
      <c r="E352" s="6" t="s">
        <v>113</v>
      </c>
      <c r="F352" s="32" t="s">
        <v>17</v>
      </c>
      <c r="G352" s="37"/>
      <c r="H352" s="61">
        <f t="shared" si="28"/>
        <v>0</v>
      </c>
      <c r="I352" s="61">
        <f t="shared" si="29"/>
        <v>642.88386010847205</v>
      </c>
      <c r="J352" s="62">
        <f t="shared" si="30"/>
        <v>0</v>
      </c>
      <c r="K352" s="6"/>
      <c r="L352" s="45"/>
      <c r="U352" s="121" t="str" cm="1">
        <f t="array" ref="U352">IF(C352="",INDEX(C346:C352,MATCH(TRUE,INDEX((C346:C352&lt;&gt;""),0),0)),C352)</f>
        <v>Britoil Defender</v>
      </c>
      <c r="V352" s="122">
        <f t="shared" si="32"/>
        <v>1.2857677202169442</v>
      </c>
      <c r="W352" s="124">
        <v>20000</v>
      </c>
      <c r="X352" s="122"/>
      <c r="Y352" s="122">
        <f t="shared" si="31"/>
        <v>27500</v>
      </c>
      <c r="Z352" s="123"/>
    </row>
    <row r="353" spans="1:26" ht="25" customHeight="1" outlineLevel="1" x14ac:dyDescent="0.35">
      <c r="B353" s="154"/>
      <c r="C353" s="154"/>
      <c r="D353" s="154"/>
      <c r="E353" s="6" t="s">
        <v>112</v>
      </c>
      <c r="F353" s="32" t="s">
        <v>21</v>
      </c>
      <c r="G353" s="37"/>
      <c r="H353" s="61" t="str">
        <f t="shared" ref="H353:H413" si="33">IF(F353="Done", V353*VLOOKUP(E353, $AB$3:$AC$11, 2, FALSE), "")</f>
        <v/>
      </c>
      <c r="I353" s="61" t="str">
        <f t="shared" ref="I353:I413" si="34">IF(F353="Done", V353*VLOOKUP(E353, $AB$3:$AD$11, 3, FALSE), "")</f>
        <v/>
      </c>
      <c r="J353" s="62" t="str">
        <f t="shared" ref="J353:J413" si="35">IF(F353="Done", V353*VLOOKUP(E353, $AB$3:$AE$11, 4, FALSE), "")</f>
        <v/>
      </c>
      <c r="K353" s="6"/>
      <c r="L353" s="45"/>
      <c r="U353" s="121" t="str" cm="1">
        <f t="array" ref="U353">IF(C353="",INDEX(C347:C353,MATCH(TRUE,INDEX((C347:C353&lt;&gt;""),0),0)),C353)</f>
        <v>Britoil Defender</v>
      </c>
      <c r="V353" s="122">
        <f t="shared" si="32"/>
        <v>1.2857677202169442</v>
      </c>
      <c r="W353" s="124">
        <v>20000</v>
      </c>
      <c r="X353" s="122"/>
      <c r="Y353" s="122">
        <f t="shared" si="31"/>
        <v>27500</v>
      </c>
      <c r="Z353" s="123"/>
    </row>
    <row r="354" spans="1:26" ht="25" customHeight="1" outlineLevel="1" x14ac:dyDescent="0.35">
      <c r="B354" s="154"/>
      <c r="C354" s="154"/>
      <c r="D354" s="154"/>
      <c r="E354" s="6" t="s">
        <v>109</v>
      </c>
      <c r="F354" s="32" t="s">
        <v>21</v>
      </c>
      <c r="G354" s="37"/>
      <c r="H354" s="61" t="str">
        <f t="shared" si="33"/>
        <v/>
      </c>
      <c r="I354" s="61" t="str">
        <f t="shared" si="34"/>
        <v/>
      </c>
      <c r="J354" s="62" t="str">
        <f t="shared" si="35"/>
        <v/>
      </c>
      <c r="K354" s="6"/>
      <c r="L354" s="45"/>
      <c r="U354" s="121" t="str" cm="1">
        <f t="array" ref="U354">IF(C354="",INDEX(C348:C354,MATCH(TRUE,INDEX((C348:C354&lt;&gt;""),0),0)),C354)</f>
        <v>Britoil Defender</v>
      </c>
      <c r="V354" s="122">
        <f t="shared" si="32"/>
        <v>1.2857677202169442</v>
      </c>
      <c r="W354" s="124">
        <v>20000</v>
      </c>
      <c r="X354" s="122"/>
      <c r="Y354" s="122">
        <f t="shared" si="31"/>
        <v>27500</v>
      </c>
      <c r="Z354" s="123"/>
    </row>
    <row r="355" spans="1:26" ht="25" customHeight="1" outlineLevel="1" x14ac:dyDescent="0.35">
      <c r="B355" s="155"/>
      <c r="C355" s="155"/>
      <c r="D355" s="155"/>
      <c r="E355" s="7" t="s">
        <v>14</v>
      </c>
      <c r="F355" s="32" t="s">
        <v>108</v>
      </c>
      <c r="G355" s="37"/>
      <c r="H355" s="61" t="str">
        <f t="shared" si="33"/>
        <v/>
      </c>
      <c r="I355" s="61" t="str">
        <f t="shared" si="34"/>
        <v/>
      </c>
      <c r="J355" s="62" t="str">
        <f t="shared" si="35"/>
        <v/>
      </c>
      <c r="K355" s="6"/>
      <c r="L355" s="46"/>
      <c r="U355" s="121" t="str" cm="1">
        <f t="array" ref="U355">IF(C355="",INDEX(C349:C355,MATCH(TRUE,INDEX((C349:C355&lt;&gt;""),0),0)),C355)</f>
        <v>Britoil Defender</v>
      </c>
      <c r="V355" s="122">
        <f t="shared" si="32"/>
        <v>1.2857677202169442</v>
      </c>
      <c r="W355" s="124">
        <v>20000</v>
      </c>
      <c r="X355" s="122"/>
      <c r="Y355" s="122">
        <f t="shared" si="31"/>
        <v>27500</v>
      </c>
      <c r="Z355" s="123"/>
    </row>
    <row r="356" spans="1:26" ht="30" customHeight="1" x14ac:dyDescent="0.35">
      <c r="A356" s="8" t="s">
        <v>136</v>
      </c>
      <c r="B356" s="150">
        <v>59</v>
      </c>
      <c r="C356" s="150" t="s">
        <v>89</v>
      </c>
      <c r="D356" s="150" t="s">
        <v>88</v>
      </c>
      <c r="E356" s="26" t="s">
        <v>105</v>
      </c>
      <c r="F356" s="31"/>
      <c r="G356" s="34"/>
      <c r="H356" s="55" t="str">
        <f t="shared" si="33"/>
        <v/>
      </c>
      <c r="I356" s="55" t="str">
        <f t="shared" si="34"/>
        <v/>
      </c>
      <c r="J356" s="56" t="str">
        <f t="shared" si="35"/>
        <v/>
      </c>
      <c r="K356" s="2"/>
      <c r="L356" s="41"/>
      <c r="U356" s="121" t="str" cm="1">
        <f t="array" ref="U356">IF(C356="",INDEX(C350:C356,MATCH(TRUE,INDEX((C350:C356&lt;&gt;""),0),0)),C356)</f>
        <v>Nautical Aisia</v>
      </c>
      <c r="V356" s="122">
        <f t="shared" si="32"/>
        <v>0.85716289508135401</v>
      </c>
      <c r="W356" s="124">
        <v>20000</v>
      </c>
      <c r="X356" s="122"/>
      <c r="Y356" s="122">
        <f t="shared" si="31"/>
        <v>18333</v>
      </c>
      <c r="Z356" s="123"/>
    </row>
    <row r="357" spans="1:26" ht="25" customHeight="1" outlineLevel="1" x14ac:dyDescent="0.35">
      <c r="B357" s="151"/>
      <c r="C357" s="151"/>
      <c r="D357" s="151"/>
      <c r="E357" s="3" t="s">
        <v>13</v>
      </c>
      <c r="F357" s="31" t="s">
        <v>17</v>
      </c>
      <c r="G357" s="35"/>
      <c r="H357" s="57">
        <f t="shared" si="33"/>
        <v>9428.7918458948934</v>
      </c>
      <c r="I357" s="57">
        <f t="shared" si="34"/>
        <v>2742.9212642603329</v>
      </c>
      <c r="J357" s="58">
        <f t="shared" si="35"/>
        <v>54.858425285206657</v>
      </c>
      <c r="K357" s="3"/>
      <c r="L357" s="42"/>
      <c r="U357" s="121" t="str" cm="1">
        <f t="array" ref="U357">IF(C357="",INDEX(C351:C357,MATCH(TRUE,INDEX((C351:C357&lt;&gt;""),0),0)),C357)</f>
        <v>Nautical Aisia</v>
      </c>
      <c r="V357" s="122">
        <f t="shared" si="32"/>
        <v>0.85716289508135401</v>
      </c>
      <c r="W357" s="124">
        <v>20000</v>
      </c>
      <c r="X357" s="122"/>
      <c r="Y357" s="122">
        <f t="shared" si="31"/>
        <v>18333</v>
      </c>
      <c r="Z357" s="123"/>
    </row>
    <row r="358" spans="1:26" ht="25" customHeight="1" outlineLevel="1" x14ac:dyDescent="0.35">
      <c r="B358" s="151"/>
      <c r="C358" s="151"/>
      <c r="D358" s="151"/>
      <c r="E358" s="3" t="s">
        <v>113</v>
      </c>
      <c r="F358" s="31" t="s">
        <v>32</v>
      </c>
      <c r="G358" s="35"/>
      <c r="H358" s="57" t="str">
        <f t="shared" si="33"/>
        <v/>
      </c>
      <c r="I358" s="57" t="str">
        <f t="shared" si="34"/>
        <v/>
      </c>
      <c r="J358" s="58" t="str">
        <f t="shared" si="35"/>
        <v/>
      </c>
      <c r="K358" s="3"/>
      <c r="L358" s="42"/>
      <c r="U358" s="121" t="str" cm="1">
        <f t="array" ref="U358">IF(C358="",INDEX(C352:C358,MATCH(TRUE,INDEX((C352:C358&lt;&gt;""),0),0)),C358)</f>
        <v>Nautical Aisia</v>
      </c>
      <c r="V358" s="122">
        <f t="shared" si="32"/>
        <v>0.85716289508135401</v>
      </c>
      <c r="W358" s="124">
        <v>20000</v>
      </c>
      <c r="X358" s="122"/>
      <c r="Y358" s="122">
        <f t="shared" si="31"/>
        <v>18333</v>
      </c>
      <c r="Z358" s="123"/>
    </row>
    <row r="359" spans="1:26" ht="25" customHeight="1" outlineLevel="1" x14ac:dyDescent="0.35">
      <c r="B359" s="151"/>
      <c r="C359" s="151"/>
      <c r="D359" s="151"/>
      <c r="E359" s="3" t="s">
        <v>112</v>
      </c>
      <c r="F359" s="31" t="s">
        <v>21</v>
      </c>
      <c r="G359" s="35"/>
      <c r="H359" s="57" t="str">
        <f t="shared" si="33"/>
        <v/>
      </c>
      <c r="I359" s="57" t="str">
        <f t="shared" si="34"/>
        <v/>
      </c>
      <c r="J359" s="58" t="str">
        <f t="shared" si="35"/>
        <v/>
      </c>
      <c r="K359" s="3"/>
      <c r="L359" s="42"/>
      <c r="U359" s="121" t="str" cm="1">
        <f t="array" ref="U359">IF(C359="",INDEX(C353:C359,MATCH(TRUE,INDEX((C353:C359&lt;&gt;""),0),0)),C359)</f>
        <v>Nautical Aisia</v>
      </c>
      <c r="V359" s="122">
        <f t="shared" si="32"/>
        <v>0.85716289508135401</v>
      </c>
      <c r="W359" s="124">
        <v>20000</v>
      </c>
      <c r="X359" s="122"/>
      <c r="Y359" s="122">
        <f t="shared" si="31"/>
        <v>18333</v>
      </c>
      <c r="Z359" s="123"/>
    </row>
    <row r="360" spans="1:26" ht="25" customHeight="1" outlineLevel="1" x14ac:dyDescent="0.35">
      <c r="B360" s="151"/>
      <c r="C360" s="151"/>
      <c r="D360" s="151"/>
      <c r="E360" s="3" t="s">
        <v>109</v>
      </c>
      <c r="F360" s="31" t="s">
        <v>21</v>
      </c>
      <c r="G360" s="35"/>
      <c r="H360" s="57" t="str">
        <f t="shared" si="33"/>
        <v/>
      </c>
      <c r="I360" s="57" t="str">
        <f t="shared" si="34"/>
        <v/>
      </c>
      <c r="J360" s="58" t="str">
        <f t="shared" si="35"/>
        <v/>
      </c>
      <c r="K360" s="3"/>
      <c r="L360" s="42"/>
      <c r="U360" s="121" t="str" cm="1">
        <f t="array" ref="U360">IF(C360="",INDEX(C354:C360,MATCH(TRUE,INDEX((C354:C360&lt;&gt;""),0),0)),C360)</f>
        <v>Nautical Aisia</v>
      </c>
      <c r="V360" s="122">
        <f t="shared" si="32"/>
        <v>0.85716289508135401</v>
      </c>
      <c r="W360" s="124">
        <v>20000</v>
      </c>
      <c r="X360" s="122"/>
      <c r="Y360" s="122">
        <f t="shared" si="31"/>
        <v>18333</v>
      </c>
      <c r="Z360" s="123"/>
    </row>
    <row r="361" spans="1:26" ht="25" customHeight="1" outlineLevel="1" x14ac:dyDescent="0.35">
      <c r="B361" s="152"/>
      <c r="C361" s="152"/>
      <c r="D361" s="152"/>
      <c r="E361" s="4" t="s">
        <v>14</v>
      </c>
      <c r="F361" s="31" t="s">
        <v>32</v>
      </c>
      <c r="G361" s="39"/>
      <c r="H361" s="65" t="str">
        <f t="shared" si="33"/>
        <v/>
      </c>
      <c r="I361" s="65" t="str">
        <f t="shared" si="34"/>
        <v/>
      </c>
      <c r="J361" s="66" t="str">
        <f t="shared" si="35"/>
        <v/>
      </c>
      <c r="K361" s="4"/>
      <c r="L361" s="43"/>
      <c r="U361" s="121" t="str" cm="1">
        <f t="array" ref="U361">IF(C361="",INDEX(C355:C361,MATCH(TRUE,INDEX((C355:C361&lt;&gt;""),0),0)),C361)</f>
        <v>Nautical Aisia</v>
      </c>
      <c r="V361" s="122">
        <f t="shared" si="32"/>
        <v>0.85716289508135401</v>
      </c>
      <c r="W361" s="124">
        <v>20000</v>
      </c>
      <c r="X361" s="122"/>
      <c r="Y361" s="122">
        <f t="shared" si="31"/>
        <v>18333</v>
      </c>
      <c r="Z361" s="123"/>
    </row>
    <row r="362" spans="1:26" ht="30" customHeight="1" x14ac:dyDescent="0.35">
      <c r="A362" s="8" t="s">
        <v>136</v>
      </c>
      <c r="B362" s="153">
        <v>60</v>
      </c>
      <c r="C362" s="153" t="s">
        <v>90</v>
      </c>
      <c r="D362" s="153" t="s">
        <v>88</v>
      </c>
      <c r="E362" s="27" t="s">
        <v>105</v>
      </c>
      <c r="F362" s="32"/>
      <c r="G362" s="37"/>
      <c r="H362" s="61" t="str">
        <f t="shared" si="33"/>
        <v/>
      </c>
      <c r="I362" s="61" t="str">
        <f t="shared" si="34"/>
        <v/>
      </c>
      <c r="J362" s="62" t="str">
        <f t="shared" si="35"/>
        <v/>
      </c>
      <c r="K362" s="6"/>
      <c r="L362" s="44"/>
      <c r="U362" s="121" t="str" cm="1">
        <f t="array" ref="U362">IF(C362="",INDEX(C356:C362,MATCH(TRUE,INDEX((C356:C362&lt;&gt;""),0),0)),C362)</f>
        <v>Nautical Anisha</v>
      </c>
      <c r="V362" s="122">
        <f t="shared" si="32"/>
        <v>0.85716289508135401</v>
      </c>
      <c r="W362" s="124">
        <v>20000</v>
      </c>
      <c r="X362" s="122"/>
      <c r="Y362" s="122">
        <f t="shared" si="31"/>
        <v>18333</v>
      </c>
      <c r="Z362" s="123"/>
    </row>
    <row r="363" spans="1:26" ht="25" customHeight="1" outlineLevel="1" x14ac:dyDescent="0.35">
      <c r="B363" s="154"/>
      <c r="C363" s="154"/>
      <c r="D363" s="154"/>
      <c r="E363" s="6" t="s">
        <v>13</v>
      </c>
      <c r="F363" s="32" t="s">
        <v>17</v>
      </c>
      <c r="G363" s="37"/>
      <c r="H363" s="61">
        <f t="shared" si="33"/>
        <v>9428.7918458948934</v>
      </c>
      <c r="I363" s="61">
        <f t="shared" si="34"/>
        <v>2742.9212642603329</v>
      </c>
      <c r="J363" s="62">
        <f t="shared" si="35"/>
        <v>54.858425285206657</v>
      </c>
      <c r="K363" s="6"/>
      <c r="L363" s="45"/>
      <c r="U363" s="121" t="str" cm="1">
        <f t="array" ref="U363">IF(C363="",INDEX(C357:C363,MATCH(TRUE,INDEX((C357:C363&lt;&gt;""),0),0)),C363)</f>
        <v>Nautical Anisha</v>
      </c>
      <c r="V363" s="122">
        <f t="shared" si="32"/>
        <v>0.85716289508135401</v>
      </c>
      <c r="W363" s="124">
        <v>20000</v>
      </c>
      <c r="X363" s="122"/>
      <c r="Y363" s="122">
        <f t="shared" si="31"/>
        <v>18333</v>
      </c>
      <c r="Z363" s="123"/>
    </row>
    <row r="364" spans="1:26" ht="25" customHeight="1" outlineLevel="1" x14ac:dyDescent="0.35">
      <c r="B364" s="154"/>
      <c r="C364" s="154"/>
      <c r="D364" s="154"/>
      <c r="E364" s="6" t="s">
        <v>113</v>
      </c>
      <c r="F364" s="32" t="s">
        <v>32</v>
      </c>
      <c r="G364" s="37"/>
      <c r="H364" s="61" t="str">
        <f t="shared" si="33"/>
        <v/>
      </c>
      <c r="I364" s="61" t="str">
        <f t="shared" si="34"/>
        <v/>
      </c>
      <c r="J364" s="62" t="str">
        <f t="shared" si="35"/>
        <v/>
      </c>
      <c r="K364" s="6"/>
      <c r="L364" s="45"/>
      <c r="U364" s="121" t="str" cm="1">
        <f t="array" ref="U364">IF(C364="",INDEX(C358:C364,MATCH(TRUE,INDEX((C358:C364&lt;&gt;""),0),0)),C364)</f>
        <v>Nautical Anisha</v>
      </c>
      <c r="V364" s="122">
        <f t="shared" si="32"/>
        <v>0.85716289508135401</v>
      </c>
      <c r="W364" s="124">
        <v>20000</v>
      </c>
      <c r="X364" s="122"/>
      <c r="Y364" s="122">
        <f t="shared" si="31"/>
        <v>18333</v>
      </c>
      <c r="Z364" s="123"/>
    </row>
    <row r="365" spans="1:26" ht="25" customHeight="1" outlineLevel="1" x14ac:dyDescent="0.35">
      <c r="B365" s="154"/>
      <c r="C365" s="154"/>
      <c r="D365" s="154"/>
      <c r="E365" s="6" t="s">
        <v>112</v>
      </c>
      <c r="F365" s="32" t="s">
        <v>21</v>
      </c>
      <c r="G365" s="37"/>
      <c r="H365" s="61" t="str">
        <f t="shared" si="33"/>
        <v/>
      </c>
      <c r="I365" s="61" t="str">
        <f t="shared" si="34"/>
        <v/>
      </c>
      <c r="J365" s="62" t="str">
        <f t="shared" si="35"/>
        <v/>
      </c>
      <c r="K365" s="6"/>
      <c r="L365" s="45"/>
      <c r="U365" s="121" t="str" cm="1">
        <f t="array" ref="U365">IF(C365="",INDEX(C359:C365,MATCH(TRUE,INDEX((C359:C365&lt;&gt;""),0),0)),C365)</f>
        <v>Nautical Anisha</v>
      </c>
      <c r="V365" s="122">
        <f t="shared" si="32"/>
        <v>0.85716289508135401</v>
      </c>
      <c r="W365" s="124">
        <v>20000</v>
      </c>
      <c r="X365" s="122"/>
      <c r="Y365" s="122">
        <f t="shared" si="31"/>
        <v>18333</v>
      </c>
      <c r="Z365" s="123"/>
    </row>
    <row r="366" spans="1:26" ht="25" customHeight="1" outlineLevel="1" x14ac:dyDescent="0.35">
      <c r="B366" s="154"/>
      <c r="C366" s="154"/>
      <c r="D366" s="154"/>
      <c r="E366" s="6" t="s">
        <v>109</v>
      </c>
      <c r="F366" s="32" t="s">
        <v>21</v>
      </c>
      <c r="G366" s="37"/>
      <c r="H366" s="61" t="str">
        <f t="shared" si="33"/>
        <v/>
      </c>
      <c r="I366" s="61" t="str">
        <f t="shared" si="34"/>
        <v/>
      </c>
      <c r="J366" s="62" t="str">
        <f t="shared" si="35"/>
        <v/>
      </c>
      <c r="K366" s="6"/>
      <c r="L366" s="45"/>
      <c r="U366" s="121" t="str" cm="1">
        <f t="array" ref="U366">IF(C366="",INDEX(C360:C366,MATCH(TRUE,INDEX((C360:C366&lt;&gt;""),0),0)),C366)</f>
        <v>Nautical Anisha</v>
      </c>
      <c r="V366" s="122">
        <f t="shared" si="32"/>
        <v>0.85716289508135401</v>
      </c>
      <c r="W366" s="124">
        <v>20000</v>
      </c>
      <c r="X366" s="122"/>
      <c r="Y366" s="122">
        <f t="shared" si="31"/>
        <v>18333</v>
      </c>
      <c r="Z366" s="123"/>
    </row>
    <row r="367" spans="1:26" ht="25" customHeight="1" outlineLevel="1" x14ac:dyDescent="0.35">
      <c r="B367" s="155"/>
      <c r="C367" s="155"/>
      <c r="D367" s="155"/>
      <c r="E367" s="7" t="s">
        <v>14</v>
      </c>
      <c r="F367" s="32" t="s">
        <v>32</v>
      </c>
      <c r="G367" s="37"/>
      <c r="H367" s="61" t="str">
        <f t="shared" si="33"/>
        <v/>
      </c>
      <c r="I367" s="61" t="str">
        <f t="shared" si="34"/>
        <v/>
      </c>
      <c r="J367" s="62" t="str">
        <f t="shared" si="35"/>
        <v/>
      </c>
      <c r="K367" s="6"/>
      <c r="L367" s="46"/>
      <c r="U367" s="121" t="str" cm="1">
        <f t="array" ref="U367">IF(C367="",INDEX(C361:C367,MATCH(TRUE,INDEX((C361:C367&lt;&gt;""),0),0)),C367)</f>
        <v>Nautical Anisha</v>
      </c>
      <c r="V367" s="122">
        <f t="shared" si="32"/>
        <v>0.85716289508135401</v>
      </c>
      <c r="W367" s="124">
        <v>20000</v>
      </c>
      <c r="X367" s="122"/>
      <c r="Y367" s="122">
        <f t="shared" si="31"/>
        <v>18333</v>
      </c>
      <c r="Z367" s="123"/>
    </row>
    <row r="368" spans="1:26" ht="30" customHeight="1" x14ac:dyDescent="0.35">
      <c r="A368" s="8" t="s">
        <v>136</v>
      </c>
      <c r="B368" s="150">
        <v>61</v>
      </c>
      <c r="C368" s="150" t="s">
        <v>91</v>
      </c>
      <c r="D368" s="150" t="s">
        <v>88</v>
      </c>
      <c r="E368" s="26" t="s">
        <v>105</v>
      </c>
      <c r="F368" s="31"/>
      <c r="G368" s="34"/>
      <c r="H368" s="55" t="str">
        <f t="shared" si="33"/>
        <v/>
      </c>
      <c r="I368" s="55" t="str">
        <f t="shared" si="34"/>
        <v/>
      </c>
      <c r="J368" s="56" t="str">
        <f t="shared" si="35"/>
        <v/>
      </c>
      <c r="K368" s="2"/>
      <c r="L368" s="42"/>
      <c r="U368" s="121" t="str" cm="1">
        <f t="array" ref="U368">IF(C368="",INDEX(C362:C368,MATCH(TRUE,INDEX((C362:C368&lt;&gt;""),0),0)),C368)</f>
        <v>Paragon Sentinel</v>
      </c>
      <c r="V368" s="122">
        <f t="shared" si="32"/>
        <v>0.85716289508135401</v>
      </c>
      <c r="W368" s="124">
        <v>20000</v>
      </c>
      <c r="X368" s="122"/>
      <c r="Y368" s="122">
        <f t="shared" si="31"/>
        <v>18333</v>
      </c>
      <c r="Z368" s="123"/>
    </row>
    <row r="369" spans="1:26" ht="25" customHeight="1" outlineLevel="1" x14ac:dyDescent="0.35">
      <c r="B369" s="151"/>
      <c r="C369" s="151"/>
      <c r="D369" s="151"/>
      <c r="E369" s="3" t="s">
        <v>13</v>
      </c>
      <c r="F369" s="31" t="s">
        <v>21</v>
      </c>
      <c r="G369" s="35"/>
      <c r="H369" s="57" t="str">
        <f t="shared" si="33"/>
        <v/>
      </c>
      <c r="I369" s="57" t="str">
        <f t="shared" si="34"/>
        <v/>
      </c>
      <c r="J369" s="58" t="str">
        <f t="shared" si="35"/>
        <v/>
      </c>
      <c r="K369" s="3"/>
      <c r="L369" s="42"/>
      <c r="U369" s="121" t="str" cm="1">
        <f t="array" ref="U369">IF(C369="",INDEX(C363:C369,MATCH(TRUE,INDEX((C363:C369&lt;&gt;""),0),0)),C369)</f>
        <v>Paragon Sentinel</v>
      </c>
      <c r="V369" s="122">
        <f t="shared" si="32"/>
        <v>0.85716289508135401</v>
      </c>
      <c r="W369" s="124">
        <v>20000</v>
      </c>
      <c r="X369" s="122"/>
      <c r="Y369" s="122">
        <f t="shared" si="31"/>
        <v>18333</v>
      </c>
      <c r="Z369" s="123"/>
    </row>
    <row r="370" spans="1:26" ht="25" customHeight="1" outlineLevel="1" x14ac:dyDescent="0.35">
      <c r="B370" s="151"/>
      <c r="C370" s="151"/>
      <c r="D370" s="151"/>
      <c r="E370" s="3" t="s">
        <v>113</v>
      </c>
      <c r="F370" s="31" t="s">
        <v>17</v>
      </c>
      <c r="G370" s="35"/>
      <c r="H370" s="57">
        <f t="shared" si="33"/>
        <v>0</v>
      </c>
      <c r="I370" s="57">
        <f t="shared" si="34"/>
        <v>428.581447540677</v>
      </c>
      <c r="J370" s="58">
        <f t="shared" si="35"/>
        <v>0</v>
      </c>
      <c r="K370" s="3"/>
      <c r="L370" s="42"/>
      <c r="U370" s="121" t="str" cm="1">
        <f t="array" ref="U370">IF(C370="",INDEX(C364:C370,MATCH(TRUE,INDEX((C364:C370&lt;&gt;""),0),0)),C370)</f>
        <v>Paragon Sentinel</v>
      </c>
      <c r="V370" s="122">
        <f t="shared" si="32"/>
        <v>0.85716289508135401</v>
      </c>
      <c r="W370" s="124">
        <v>20000</v>
      </c>
      <c r="X370" s="122"/>
      <c r="Y370" s="122">
        <f t="shared" si="31"/>
        <v>18333</v>
      </c>
      <c r="Z370" s="123"/>
    </row>
    <row r="371" spans="1:26" ht="25" customHeight="1" outlineLevel="1" x14ac:dyDescent="0.35">
      <c r="B371" s="151"/>
      <c r="C371" s="151"/>
      <c r="D371" s="151"/>
      <c r="E371" s="3" t="s">
        <v>112</v>
      </c>
      <c r="F371" s="31" t="s">
        <v>21</v>
      </c>
      <c r="G371" s="35"/>
      <c r="H371" s="57" t="str">
        <f t="shared" si="33"/>
        <v/>
      </c>
      <c r="I371" s="57" t="str">
        <f t="shared" si="34"/>
        <v/>
      </c>
      <c r="J371" s="58" t="str">
        <f t="shared" si="35"/>
        <v/>
      </c>
      <c r="K371" s="3"/>
      <c r="L371" s="42" t="s">
        <v>281</v>
      </c>
      <c r="U371" s="121" t="str" cm="1">
        <f t="array" ref="U371">IF(C371="",INDEX(C365:C371,MATCH(TRUE,INDEX((C365:C371&lt;&gt;""),0),0)),C371)</f>
        <v>Paragon Sentinel</v>
      </c>
      <c r="V371" s="122">
        <f t="shared" si="32"/>
        <v>0.85716289508135401</v>
      </c>
      <c r="W371" s="124">
        <v>20000</v>
      </c>
      <c r="X371" s="122"/>
      <c r="Y371" s="122">
        <f t="shared" si="31"/>
        <v>18333</v>
      </c>
      <c r="Z371" s="123"/>
    </row>
    <row r="372" spans="1:26" ht="25" customHeight="1" outlineLevel="1" x14ac:dyDescent="0.35">
      <c r="B372" s="151"/>
      <c r="C372" s="151"/>
      <c r="D372" s="151"/>
      <c r="E372" s="3" t="s">
        <v>109</v>
      </c>
      <c r="F372" s="31" t="s">
        <v>17</v>
      </c>
      <c r="G372" s="35"/>
      <c r="H372" s="57">
        <f t="shared" si="33"/>
        <v>7114.4520291752387</v>
      </c>
      <c r="I372" s="57">
        <f t="shared" si="34"/>
        <v>857.16289508135401</v>
      </c>
      <c r="J372" s="58">
        <f t="shared" si="35"/>
        <v>38.572330278660928</v>
      </c>
      <c r="K372" s="3"/>
      <c r="L372" s="42"/>
      <c r="U372" s="121" t="str" cm="1">
        <f t="array" ref="U372">IF(C372="",INDEX(C366:C372,MATCH(TRUE,INDEX((C366:C372&lt;&gt;""),0),0)),C372)</f>
        <v>Paragon Sentinel</v>
      </c>
      <c r="V372" s="122">
        <f t="shared" si="32"/>
        <v>0.85716289508135401</v>
      </c>
      <c r="W372" s="124">
        <v>20000</v>
      </c>
      <c r="X372" s="122"/>
      <c r="Y372" s="122">
        <f t="shared" si="31"/>
        <v>18333</v>
      </c>
      <c r="Z372" s="123"/>
    </row>
    <row r="373" spans="1:26" ht="25" customHeight="1" outlineLevel="1" x14ac:dyDescent="0.35">
      <c r="B373" s="152"/>
      <c r="C373" s="152"/>
      <c r="D373" s="152"/>
      <c r="E373" s="4" t="s">
        <v>14</v>
      </c>
      <c r="F373" s="31" t="s">
        <v>21</v>
      </c>
      <c r="G373" s="39"/>
      <c r="H373" s="65" t="str">
        <f t="shared" si="33"/>
        <v/>
      </c>
      <c r="I373" s="65" t="str">
        <f t="shared" si="34"/>
        <v/>
      </c>
      <c r="J373" s="66" t="str">
        <f t="shared" si="35"/>
        <v/>
      </c>
      <c r="K373" s="4"/>
      <c r="L373" s="42"/>
      <c r="U373" s="121" t="str" cm="1">
        <f t="array" ref="U373">IF(C373="",INDEX(C367:C373,MATCH(TRUE,INDEX((C367:C373&lt;&gt;""),0),0)),C373)</f>
        <v>Paragon Sentinel</v>
      </c>
      <c r="V373" s="122">
        <f t="shared" si="32"/>
        <v>0.85716289508135401</v>
      </c>
      <c r="W373" s="124">
        <v>20000</v>
      </c>
      <c r="X373" s="122"/>
      <c r="Y373" s="122">
        <f t="shared" si="31"/>
        <v>18333</v>
      </c>
      <c r="Z373" s="123"/>
    </row>
    <row r="374" spans="1:26" ht="30" customHeight="1" x14ac:dyDescent="0.35">
      <c r="A374" s="8" t="s">
        <v>136</v>
      </c>
      <c r="B374" s="153">
        <v>62</v>
      </c>
      <c r="C374" s="153" t="s">
        <v>99</v>
      </c>
      <c r="D374" s="153" t="s">
        <v>88</v>
      </c>
      <c r="E374" s="27" t="s">
        <v>105</v>
      </c>
      <c r="F374" s="32"/>
      <c r="G374" s="37"/>
      <c r="H374" s="61" t="str">
        <f t="shared" si="33"/>
        <v/>
      </c>
      <c r="I374" s="61" t="str">
        <f t="shared" si="34"/>
        <v/>
      </c>
      <c r="J374" s="62" t="str">
        <f t="shared" si="35"/>
        <v/>
      </c>
      <c r="K374" s="6"/>
      <c r="L374" s="44"/>
      <c r="U374" s="121" t="str" cm="1">
        <f t="array" ref="U374">IF(C374="",INDEX(C368:C374,MATCH(TRUE,INDEX((C368:C374&lt;&gt;""),0),0)),C374)</f>
        <v>BOS Tramontana</v>
      </c>
      <c r="V374" s="122">
        <f t="shared" si="32"/>
        <v>0.28155975313259773</v>
      </c>
      <c r="W374" s="122">
        <v>5000</v>
      </c>
      <c r="X374" s="122"/>
      <c r="Y374" s="122">
        <f t="shared" si="31"/>
        <v>6022</v>
      </c>
      <c r="Z374" s="123"/>
    </row>
    <row r="375" spans="1:26" ht="25" customHeight="1" outlineLevel="1" x14ac:dyDescent="0.35">
      <c r="B375" s="154"/>
      <c r="C375" s="154"/>
      <c r="D375" s="154"/>
      <c r="E375" s="6" t="s">
        <v>13</v>
      </c>
      <c r="F375" s="32" t="s">
        <v>32</v>
      </c>
      <c r="G375" s="37"/>
      <c r="H375" s="61" t="str">
        <f t="shared" si="33"/>
        <v/>
      </c>
      <c r="I375" s="61" t="str">
        <f t="shared" si="34"/>
        <v/>
      </c>
      <c r="J375" s="62" t="str">
        <f t="shared" si="35"/>
        <v/>
      </c>
      <c r="K375" s="6"/>
      <c r="L375" s="45"/>
      <c r="U375" s="121" t="str" cm="1">
        <f t="array" ref="U375">IF(C375="",INDEX(C369:C375,MATCH(TRUE,INDEX((C369:C375&lt;&gt;""),0),0)),C375)</f>
        <v>BOS Tramontana</v>
      </c>
      <c r="V375" s="122">
        <f t="shared" si="32"/>
        <v>0.28155975313259773</v>
      </c>
      <c r="W375" s="122">
        <v>5000</v>
      </c>
      <c r="X375" s="122"/>
      <c r="Y375" s="122">
        <f t="shared" si="31"/>
        <v>6022</v>
      </c>
      <c r="Z375" s="123"/>
    </row>
    <row r="376" spans="1:26" ht="25" customHeight="1" outlineLevel="1" x14ac:dyDescent="0.35">
      <c r="B376" s="154"/>
      <c r="C376" s="154"/>
      <c r="D376" s="154"/>
      <c r="E376" s="6" t="s">
        <v>113</v>
      </c>
      <c r="F376" s="32" t="s">
        <v>21</v>
      </c>
      <c r="G376" s="37"/>
      <c r="H376" s="61" t="str">
        <f t="shared" si="33"/>
        <v/>
      </c>
      <c r="I376" s="61" t="str">
        <f t="shared" si="34"/>
        <v/>
      </c>
      <c r="J376" s="62" t="str">
        <f t="shared" si="35"/>
        <v/>
      </c>
      <c r="K376" s="6"/>
      <c r="L376" s="45"/>
      <c r="U376" s="121" t="str" cm="1">
        <f t="array" ref="U376">IF(C376="",INDEX(C370:C376,MATCH(TRUE,INDEX((C370:C376&lt;&gt;""),0),0)),C376)</f>
        <v>BOS Tramontana</v>
      </c>
      <c r="V376" s="122">
        <f t="shared" si="32"/>
        <v>0.28155975313259773</v>
      </c>
      <c r="W376" s="122">
        <v>5000</v>
      </c>
      <c r="X376" s="122"/>
      <c r="Y376" s="122">
        <f t="shared" si="31"/>
        <v>6022</v>
      </c>
      <c r="Z376" s="123"/>
    </row>
    <row r="377" spans="1:26" ht="25" customHeight="1" outlineLevel="1" x14ac:dyDescent="0.35">
      <c r="B377" s="154"/>
      <c r="C377" s="154"/>
      <c r="D377" s="154"/>
      <c r="E377" s="6" t="s">
        <v>112</v>
      </c>
      <c r="F377" s="32" t="s">
        <v>32</v>
      </c>
      <c r="G377" s="37"/>
      <c r="H377" s="61" t="str">
        <f t="shared" si="33"/>
        <v/>
      </c>
      <c r="I377" s="61" t="str">
        <f t="shared" si="34"/>
        <v/>
      </c>
      <c r="J377" s="62" t="str">
        <f t="shared" si="35"/>
        <v/>
      </c>
      <c r="K377" s="6"/>
      <c r="L377" s="45"/>
      <c r="U377" s="121" t="str" cm="1">
        <f t="array" ref="U377">IF(C377="",INDEX(C371:C377,MATCH(TRUE,INDEX((C371:C377&lt;&gt;""),0),0)),C377)</f>
        <v>BOS Tramontana</v>
      </c>
      <c r="V377" s="122">
        <f t="shared" si="32"/>
        <v>0.28155975313259773</v>
      </c>
      <c r="W377" s="122">
        <v>5000</v>
      </c>
      <c r="X377" s="122"/>
      <c r="Y377" s="122">
        <f t="shared" si="31"/>
        <v>6022</v>
      </c>
      <c r="Z377" s="123"/>
    </row>
    <row r="378" spans="1:26" ht="25" customHeight="1" outlineLevel="1" x14ac:dyDescent="0.35">
      <c r="B378" s="154"/>
      <c r="C378" s="154"/>
      <c r="D378" s="154"/>
      <c r="E378" s="6" t="s">
        <v>109</v>
      </c>
      <c r="F378" s="32" t="s">
        <v>21</v>
      </c>
      <c r="G378" s="37"/>
      <c r="H378" s="61" t="str">
        <f t="shared" si="33"/>
        <v/>
      </c>
      <c r="I378" s="61" t="str">
        <f t="shared" si="34"/>
        <v/>
      </c>
      <c r="J378" s="62" t="str">
        <f t="shared" si="35"/>
        <v/>
      </c>
      <c r="K378" s="6"/>
      <c r="L378" s="45"/>
      <c r="U378" s="121" t="str" cm="1">
        <f t="array" ref="U378">IF(C378="",INDEX(C372:C378,MATCH(TRUE,INDEX((C372:C378&lt;&gt;""),0),0)),C378)</f>
        <v>BOS Tramontana</v>
      </c>
      <c r="V378" s="122">
        <f t="shared" si="32"/>
        <v>0.28155975313259773</v>
      </c>
      <c r="W378" s="122">
        <v>5000</v>
      </c>
      <c r="X378" s="122"/>
      <c r="Y378" s="122">
        <f t="shared" si="31"/>
        <v>6022</v>
      </c>
      <c r="Z378" s="123"/>
    </row>
    <row r="379" spans="1:26" ht="25" customHeight="1" outlineLevel="1" x14ac:dyDescent="0.35">
      <c r="B379" s="155"/>
      <c r="C379" s="155"/>
      <c r="D379" s="155"/>
      <c r="E379" s="7" t="s">
        <v>14</v>
      </c>
      <c r="F379" s="32" t="s">
        <v>21</v>
      </c>
      <c r="G379" s="37"/>
      <c r="H379" s="61" t="str">
        <f t="shared" si="33"/>
        <v/>
      </c>
      <c r="I379" s="61" t="str">
        <f t="shared" si="34"/>
        <v/>
      </c>
      <c r="J379" s="62" t="str">
        <f t="shared" si="35"/>
        <v/>
      </c>
      <c r="K379" s="6"/>
      <c r="L379" s="46"/>
      <c r="U379" s="121" t="str" cm="1">
        <f t="array" ref="U379">IF(C379="",INDEX(C373:C379,MATCH(TRUE,INDEX((C373:C379&lt;&gt;""),0),0)),C379)</f>
        <v>BOS Tramontana</v>
      </c>
      <c r="V379" s="122">
        <f t="shared" si="32"/>
        <v>0.28155975313259773</v>
      </c>
      <c r="W379" s="122">
        <v>5000</v>
      </c>
      <c r="X379" s="122"/>
      <c r="Y379" s="122">
        <f t="shared" si="31"/>
        <v>6022</v>
      </c>
      <c r="Z379" s="123"/>
    </row>
    <row r="380" spans="1:26" ht="30" customHeight="1" x14ac:dyDescent="0.35">
      <c r="A380" s="8" t="s">
        <v>136</v>
      </c>
      <c r="B380" s="150">
        <v>63</v>
      </c>
      <c r="C380" s="150" t="s">
        <v>92</v>
      </c>
      <c r="D380" s="150" t="s">
        <v>12</v>
      </c>
      <c r="E380" s="26" t="s">
        <v>105</v>
      </c>
      <c r="F380" s="31"/>
      <c r="G380" s="34"/>
      <c r="H380" s="55" t="str">
        <f t="shared" si="33"/>
        <v/>
      </c>
      <c r="I380" s="55" t="str">
        <f t="shared" si="34"/>
        <v/>
      </c>
      <c r="J380" s="56" t="str">
        <f t="shared" si="35"/>
        <v/>
      </c>
      <c r="K380" s="2"/>
      <c r="L380" s="41"/>
      <c r="U380" s="121" t="str" cm="1">
        <f t="array" ref="U380">IF(C380="",INDEX(C374:C380,MATCH(TRUE,INDEX((C374:C380&lt;&gt;""),0),0)),C380)</f>
        <v>Britoil 57</v>
      </c>
      <c r="V380" s="122">
        <f t="shared" si="32"/>
        <v>0.71427903497288203</v>
      </c>
      <c r="W380" s="124">
        <v>20000</v>
      </c>
      <c r="X380" s="122"/>
      <c r="Y380" s="122">
        <f t="shared" si="31"/>
        <v>15277</v>
      </c>
      <c r="Z380" s="123"/>
    </row>
    <row r="381" spans="1:26" ht="25" customHeight="1" outlineLevel="1" x14ac:dyDescent="0.35">
      <c r="B381" s="151"/>
      <c r="C381" s="151"/>
      <c r="D381" s="151"/>
      <c r="E381" s="3" t="s">
        <v>13</v>
      </c>
      <c r="F381" s="31" t="s">
        <v>21</v>
      </c>
      <c r="G381" s="35"/>
      <c r="H381" s="57" t="str">
        <f t="shared" si="33"/>
        <v/>
      </c>
      <c r="I381" s="57" t="str">
        <f t="shared" si="34"/>
        <v/>
      </c>
      <c r="J381" s="58" t="str">
        <f t="shared" si="35"/>
        <v/>
      </c>
      <c r="K381" s="3"/>
      <c r="L381" s="42"/>
      <c r="U381" s="121" t="str" cm="1">
        <f t="array" ref="U381">IF(C381="",INDEX(C375:C381,MATCH(TRUE,INDEX((C375:C381&lt;&gt;""),0),0)),C381)</f>
        <v>Britoil 57</v>
      </c>
      <c r="V381" s="122">
        <f t="shared" si="32"/>
        <v>0.71427903497288203</v>
      </c>
      <c r="W381" s="124">
        <v>20000</v>
      </c>
      <c r="X381" s="122"/>
      <c r="Y381" s="122">
        <f t="shared" si="31"/>
        <v>15277</v>
      </c>
      <c r="Z381" s="123"/>
    </row>
    <row r="382" spans="1:26" ht="25" customHeight="1" outlineLevel="1" x14ac:dyDescent="0.35">
      <c r="B382" s="151"/>
      <c r="C382" s="151"/>
      <c r="D382" s="151"/>
      <c r="E382" s="3" t="s">
        <v>113</v>
      </c>
      <c r="F382" s="31" t="s">
        <v>21</v>
      </c>
      <c r="G382" s="35"/>
      <c r="H382" s="57" t="str">
        <f t="shared" si="33"/>
        <v/>
      </c>
      <c r="I382" s="57" t="str">
        <f t="shared" si="34"/>
        <v/>
      </c>
      <c r="J382" s="58" t="str">
        <f t="shared" si="35"/>
        <v/>
      </c>
      <c r="K382" s="3"/>
      <c r="L382" s="42"/>
      <c r="U382" s="121" t="str" cm="1">
        <f t="array" ref="U382">IF(C382="",INDEX(C376:C382,MATCH(TRUE,INDEX((C376:C382&lt;&gt;""),0),0)),C382)</f>
        <v>Britoil 57</v>
      </c>
      <c r="V382" s="122">
        <f t="shared" si="32"/>
        <v>0.71427903497288203</v>
      </c>
      <c r="W382" s="124">
        <v>20000</v>
      </c>
      <c r="X382" s="122"/>
      <c r="Y382" s="122">
        <f t="shared" si="31"/>
        <v>15277</v>
      </c>
      <c r="Z382" s="123"/>
    </row>
    <row r="383" spans="1:26" ht="25" customHeight="1" outlineLevel="1" x14ac:dyDescent="0.35">
      <c r="B383" s="151"/>
      <c r="C383" s="151"/>
      <c r="D383" s="151"/>
      <c r="E383" s="3" t="s">
        <v>112</v>
      </c>
      <c r="F383" s="31" t="s">
        <v>21</v>
      </c>
      <c r="G383" s="35"/>
      <c r="H383" s="57" t="str">
        <f t="shared" si="33"/>
        <v/>
      </c>
      <c r="I383" s="57" t="str">
        <f t="shared" si="34"/>
        <v/>
      </c>
      <c r="J383" s="58" t="str">
        <f t="shared" si="35"/>
        <v/>
      </c>
      <c r="K383" s="3"/>
      <c r="L383" s="42"/>
      <c r="U383" s="121" t="str" cm="1">
        <f t="array" ref="U383">IF(C383="",INDEX(C377:C383,MATCH(TRUE,INDEX((C377:C383&lt;&gt;""),0),0)),C383)</f>
        <v>Britoil 57</v>
      </c>
      <c r="V383" s="122">
        <f t="shared" si="32"/>
        <v>0.71427903497288203</v>
      </c>
      <c r="W383" s="124">
        <v>20000</v>
      </c>
      <c r="X383" s="122"/>
      <c r="Y383" s="122">
        <f t="shared" si="31"/>
        <v>15277</v>
      </c>
      <c r="Z383" s="123"/>
    </row>
    <row r="384" spans="1:26" ht="25" customHeight="1" outlineLevel="1" x14ac:dyDescent="0.35">
      <c r="B384" s="151"/>
      <c r="C384" s="151"/>
      <c r="D384" s="151"/>
      <c r="E384" s="3" t="s">
        <v>109</v>
      </c>
      <c r="F384" s="31" t="s">
        <v>21</v>
      </c>
      <c r="G384" s="35"/>
      <c r="H384" s="57" t="str">
        <f t="shared" si="33"/>
        <v/>
      </c>
      <c r="I384" s="57" t="str">
        <f t="shared" si="34"/>
        <v/>
      </c>
      <c r="J384" s="58" t="str">
        <f t="shared" si="35"/>
        <v/>
      </c>
      <c r="K384" s="3"/>
      <c r="L384" s="42"/>
      <c r="U384" s="121" t="str" cm="1">
        <f t="array" ref="U384">IF(C384="",INDEX(C378:C384,MATCH(TRUE,INDEX((C378:C384&lt;&gt;""),0),0)),C384)</f>
        <v>Britoil 57</v>
      </c>
      <c r="V384" s="122">
        <f t="shared" si="32"/>
        <v>0.71427903497288203</v>
      </c>
      <c r="W384" s="124">
        <v>20000</v>
      </c>
      <c r="X384" s="122"/>
      <c r="Y384" s="122">
        <f t="shared" si="31"/>
        <v>15277</v>
      </c>
      <c r="Z384" s="123"/>
    </row>
    <row r="385" spans="1:26" ht="25" customHeight="1" outlineLevel="1" x14ac:dyDescent="0.35">
      <c r="B385" s="152"/>
      <c r="C385" s="152"/>
      <c r="D385" s="152"/>
      <c r="E385" s="4" t="s">
        <v>14</v>
      </c>
      <c r="F385" s="31" t="s">
        <v>21</v>
      </c>
      <c r="G385" s="39"/>
      <c r="H385" s="65" t="str">
        <f t="shared" si="33"/>
        <v/>
      </c>
      <c r="I385" s="65" t="str">
        <f t="shared" si="34"/>
        <v/>
      </c>
      <c r="J385" s="66" t="str">
        <f t="shared" si="35"/>
        <v/>
      </c>
      <c r="K385" s="4"/>
      <c r="L385" s="43"/>
      <c r="U385" s="121" t="str" cm="1">
        <f t="array" ref="U385">IF(C385="",INDEX(C379:C385,MATCH(TRUE,INDEX((C379:C385&lt;&gt;""),0),0)),C385)</f>
        <v>Britoil 57</v>
      </c>
      <c r="V385" s="122">
        <f t="shared" si="32"/>
        <v>0.71427903497288203</v>
      </c>
      <c r="W385" s="124">
        <v>20000</v>
      </c>
      <c r="X385" s="122"/>
      <c r="Y385" s="122">
        <f t="shared" si="31"/>
        <v>15277</v>
      </c>
      <c r="Z385" s="123"/>
    </row>
    <row r="386" spans="1:26" ht="30" customHeight="1" x14ac:dyDescent="0.35">
      <c r="A386" s="8" t="s">
        <v>136</v>
      </c>
      <c r="B386" s="153">
        <v>64</v>
      </c>
      <c r="C386" s="153" t="s">
        <v>93</v>
      </c>
      <c r="D386" s="153" t="s">
        <v>94</v>
      </c>
      <c r="E386" s="27" t="s">
        <v>105</v>
      </c>
      <c r="F386" s="32"/>
      <c r="G386" s="37"/>
      <c r="H386" s="61" t="str">
        <f t="shared" si="33"/>
        <v/>
      </c>
      <c r="I386" s="61" t="str">
        <f t="shared" si="34"/>
        <v/>
      </c>
      <c r="J386" s="62" t="str">
        <f t="shared" si="35"/>
        <v/>
      </c>
      <c r="K386" s="6"/>
      <c r="L386" s="44"/>
      <c r="U386" s="121" t="str" cm="1">
        <f t="array" ref="U386">IF(C386="",INDEX(C380:C386,MATCH(TRUE,INDEX((C380:C386&lt;&gt;""),0),0)),C386)</f>
        <v>BOS Defiance</v>
      </c>
      <c r="V386" s="122">
        <f t="shared" si="32"/>
        <v>1.1428838601084721</v>
      </c>
      <c r="W386" s="122">
        <v>22000</v>
      </c>
      <c r="X386" s="125" t="s">
        <v>161</v>
      </c>
      <c r="Y386" s="122">
        <f t="shared" si="31"/>
        <v>24444</v>
      </c>
      <c r="Z386" s="123"/>
    </row>
    <row r="387" spans="1:26" ht="25" customHeight="1" outlineLevel="1" x14ac:dyDescent="0.35">
      <c r="B387" s="154"/>
      <c r="C387" s="154"/>
      <c r="D387" s="154"/>
      <c r="E387" s="6" t="s">
        <v>13</v>
      </c>
      <c r="F387" s="32" t="s">
        <v>17</v>
      </c>
      <c r="G387" s="37"/>
      <c r="H387" s="61">
        <f t="shared" si="33"/>
        <v>12571.722461193192</v>
      </c>
      <c r="I387" s="61">
        <f t="shared" si="34"/>
        <v>3657.2283523471106</v>
      </c>
      <c r="J387" s="62">
        <f t="shared" si="35"/>
        <v>73.144567046942214</v>
      </c>
      <c r="K387" s="6"/>
      <c r="L387" s="45"/>
      <c r="U387" s="121" t="str" cm="1">
        <f t="array" ref="U387">IF(C387="",INDEX(C381:C387,MATCH(TRUE,INDEX((C381:C387&lt;&gt;""),0),0)),C387)</f>
        <v>BOS Defiance</v>
      </c>
      <c r="V387" s="122">
        <f t="shared" si="32"/>
        <v>1.1428838601084721</v>
      </c>
      <c r="W387" s="122">
        <v>22000</v>
      </c>
      <c r="X387" s="122"/>
      <c r="Y387" s="122">
        <f t="shared" si="31"/>
        <v>24444</v>
      </c>
      <c r="Z387" s="123"/>
    </row>
    <row r="388" spans="1:26" ht="25" customHeight="1" outlineLevel="1" x14ac:dyDescent="0.35">
      <c r="B388" s="154"/>
      <c r="C388" s="154"/>
      <c r="D388" s="154"/>
      <c r="E388" s="6" t="s">
        <v>106</v>
      </c>
      <c r="F388" s="32" t="s">
        <v>17</v>
      </c>
      <c r="G388" s="37">
        <v>45708</v>
      </c>
      <c r="H388" s="61">
        <f t="shared" si="33"/>
        <v>0</v>
      </c>
      <c r="I388" s="61">
        <f t="shared" si="34"/>
        <v>4571.5354404338887</v>
      </c>
      <c r="J388" s="62">
        <f t="shared" si="35"/>
        <v>0</v>
      </c>
      <c r="K388" s="6"/>
      <c r="L388" s="45" t="s">
        <v>127</v>
      </c>
      <c r="U388" s="121" t="str" cm="1">
        <f t="array" ref="U388">IF(C388="",INDEX(C382:C388,MATCH(TRUE,INDEX((C382:C388&lt;&gt;""),0),0)),C388)</f>
        <v>BOS Defiance</v>
      </c>
      <c r="V388" s="122">
        <f t="shared" si="32"/>
        <v>1.1428838601084721</v>
      </c>
      <c r="W388" s="122">
        <v>22000</v>
      </c>
      <c r="X388" s="122"/>
      <c r="Y388" s="122">
        <f t="shared" si="31"/>
        <v>24444</v>
      </c>
      <c r="Z388" s="123"/>
    </row>
    <row r="389" spans="1:26" ht="25" customHeight="1" outlineLevel="1" x14ac:dyDescent="0.35">
      <c r="B389" s="154"/>
      <c r="C389" s="154"/>
      <c r="D389" s="154"/>
      <c r="E389" s="6" t="s">
        <v>109</v>
      </c>
      <c r="F389" s="32" t="s">
        <v>17</v>
      </c>
      <c r="G389" s="37"/>
      <c r="H389" s="61">
        <f t="shared" si="33"/>
        <v>9485.9360389003177</v>
      </c>
      <c r="I389" s="61">
        <f t="shared" si="34"/>
        <v>1142.8838601084722</v>
      </c>
      <c r="J389" s="62">
        <f t="shared" si="35"/>
        <v>51.429773704881242</v>
      </c>
      <c r="K389" s="6"/>
      <c r="L389" s="45"/>
      <c r="U389" s="121" t="str" cm="1">
        <f t="array" ref="U389">IF(C389="",INDEX(C383:C389,MATCH(TRUE,INDEX((C383:C389&lt;&gt;""),0),0)),C389)</f>
        <v>BOS Defiance</v>
      </c>
      <c r="V389" s="122">
        <f t="shared" si="32"/>
        <v>1.1428838601084721</v>
      </c>
      <c r="W389" s="122">
        <v>22000</v>
      </c>
      <c r="X389" s="122"/>
      <c r="Y389" s="122">
        <f t="shared" si="31"/>
        <v>24444</v>
      </c>
      <c r="Z389" s="123"/>
    </row>
    <row r="390" spans="1:26" ht="25" customHeight="1" outlineLevel="1" x14ac:dyDescent="0.35">
      <c r="B390" s="154"/>
      <c r="C390" s="154"/>
      <c r="D390" s="154"/>
      <c r="E390" s="6" t="s">
        <v>95</v>
      </c>
      <c r="F390" s="32" t="s">
        <v>108</v>
      </c>
      <c r="G390" s="37"/>
      <c r="H390" s="61" t="str">
        <f t="shared" si="33"/>
        <v/>
      </c>
      <c r="I390" s="61" t="str">
        <f t="shared" si="34"/>
        <v/>
      </c>
      <c r="J390" s="62" t="str">
        <f t="shared" si="35"/>
        <v/>
      </c>
      <c r="K390" s="6"/>
      <c r="L390" s="45"/>
      <c r="U390" s="121" t="str" cm="1">
        <f t="array" ref="U390">IF(C390="",INDEX(C384:C390,MATCH(TRUE,INDEX((C384:C390&lt;&gt;""),0),0)),C390)</f>
        <v>BOS Defiance</v>
      </c>
      <c r="V390" s="122">
        <f t="shared" si="32"/>
        <v>1.1428838601084721</v>
      </c>
      <c r="W390" s="122">
        <v>22000</v>
      </c>
      <c r="X390" s="122"/>
      <c r="Y390" s="122">
        <f t="shared" si="31"/>
        <v>24444</v>
      </c>
      <c r="Z390" s="123"/>
    </row>
    <row r="391" spans="1:26" ht="25" customHeight="1" outlineLevel="1" x14ac:dyDescent="0.35">
      <c r="B391" s="154"/>
      <c r="C391" s="154"/>
      <c r="D391" s="154"/>
      <c r="E391" s="6" t="s">
        <v>112</v>
      </c>
      <c r="F391" s="32" t="s">
        <v>17</v>
      </c>
      <c r="G391" s="37"/>
      <c r="H391" s="61">
        <f>2*IF(F391="Done", V391*VLOOKUP(E391, $AB$3:$AC$11, 2, FALSE), "")</f>
        <v>18286.141761735555</v>
      </c>
      <c r="I391" s="61">
        <f>2*IF(F391="Done", V391*VLOOKUP(E391, $AB$3:$AD$11, 3, FALSE), "")</f>
        <v>2285.7677202169443</v>
      </c>
      <c r="J391" s="62">
        <f>2*IF(F391="Done", V391*VLOOKUP(E391, $AB$3:$AE$11, 4, FALSE), "")</f>
        <v>91.430708808677764</v>
      </c>
      <c r="K391" s="6"/>
      <c r="L391" s="45" t="s">
        <v>129</v>
      </c>
      <c r="M391" s="8" t="s">
        <v>136</v>
      </c>
      <c r="U391" s="121" t="str" cm="1">
        <f t="array" ref="U391">IF(C391="",INDEX(C385:C391,MATCH(TRUE,INDEX((C385:C391&lt;&gt;""),0),0)),C391)</f>
        <v>BOS Defiance</v>
      </c>
      <c r="V391" s="122">
        <f t="shared" si="32"/>
        <v>1.1428838601084721</v>
      </c>
      <c r="W391" s="122">
        <v>22000</v>
      </c>
      <c r="X391" s="122"/>
      <c r="Y391" s="122">
        <f t="shared" si="31"/>
        <v>24444</v>
      </c>
      <c r="Z391" s="123"/>
    </row>
    <row r="392" spans="1:26" ht="25" customHeight="1" outlineLevel="1" x14ac:dyDescent="0.35">
      <c r="B392" s="154"/>
      <c r="C392" s="154"/>
      <c r="D392" s="154"/>
      <c r="E392" s="6" t="s">
        <v>113</v>
      </c>
      <c r="F392" s="32" t="s">
        <v>17</v>
      </c>
      <c r="G392" s="37"/>
      <c r="H392" s="61">
        <f t="shared" si="33"/>
        <v>0</v>
      </c>
      <c r="I392" s="61">
        <f t="shared" si="34"/>
        <v>571.44193005423608</v>
      </c>
      <c r="J392" s="62">
        <f t="shared" si="35"/>
        <v>0</v>
      </c>
      <c r="K392" s="6"/>
      <c r="L392" s="45"/>
      <c r="U392" s="121" t="str" cm="1">
        <f t="array" ref="U392">IF(C392="",INDEX(C386:C392,MATCH(TRUE,INDEX((C386:C392&lt;&gt;""),0),0)),C392)</f>
        <v>BOS Defiance</v>
      </c>
      <c r="V392" s="122">
        <f t="shared" si="32"/>
        <v>1.1428838601084721</v>
      </c>
      <c r="W392" s="122">
        <v>22000</v>
      </c>
      <c r="X392" s="122"/>
      <c r="Y392" s="122">
        <f t="shared" si="31"/>
        <v>24444</v>
      </c>
      <c r="Z392" s="123"/>
    </row>
    <row r="393" spans="1:26" ht="25" customHeight="1" outlineLevel="1" x14ac:dyDescent="0.35">
      <c r="B393" s="155"/>
      <c r="C393" s="155"/>
      <c r="D393" s="155"/>
      <c r="E393" s="7" t="s">
        <v>14</v>
      </c>
      <c r="F393" s="32" t="s">
        <v>17</v>
      </c>
      <c r="G393" s="37"/>
      <c r="H393" s="61">
        <f t="shared" si="33"/>
        <v>2857.2096502711802</v>
      </c>
      <c r="I393" s="61">
        <f t="shared" si="34"/>
        <v>3657.2283523471106</v>
      </c>
      <c r="J393" s="62">
        <f t="shared" si="35"/>
        <v>12.571722461193193</v>
      </c>
      <c r="K393" s="6"/>
      <c r="L393" s="46"/>
      <c r="U393" s="121" t="s">
        <v>93</v>
      </c>
      <c r="V393" s="122">
        <f t="shared" si="32"/>
        <v>1.1428838601084721</v>
      </c>
      <c r="W393" s="122">
        <v>22000</v>
      </c>
      <c r="X393" s="122"/>
      <c r="Y393" s="122">
        <f t="shared" si="31"/>
        <v>24444</v>
      </c>
      <c r="Z393" s="123"/>
    </row>
    <row r="394" spans="1:26" ht="30" customHeight="1" x14ac:dyDescent="0.35">
      <c r="A394" s="8" t="s">
        <v>136</v>
      </c>
      <c r="B394" s="150">
        <v>65</v>
      </c>
      <c r="C394" s="150" t="s">
        <v>96</v>
      </c>
      <c r="D394" s="150" t="s">
        <v>94</v>
      </c>
      <c r="E394" s="26" t="s">
        <v>105</v>
      </c>
      <c r="F394" s="31"/>
      <c r="G394" s="34"/>
      <c r="H394" s="55" t="str">
        <f t="shared" si="33"/>
        <v/>
      </c>
      <c r="I394" s="55" t="str">
        <f t="shared" si="34"/>
        <v/>
      </c>
      <c r="J394" s="56" t="str">
        <f t="shared" si="35"/>
        <v/>
      </c>
      <c r="K394" s="2"/>
      <c r="L394" s="41"/>
      <c r="U394" s="121" t="str" cm="1">
        <f t="array" ref="U394">IF(C394="",INDEX(C388:C394,MATCH(TRUE,INDEX((C388:C394&lt;&gt;""),0),0)),C394)</f>
        <v>BOS Diligance</v>
      </c>
      <c r="V394" s="122">
        <f t="shared" si="32"/>
        <v>1.1428838601084721</v>
      </c>
      <c r="W394" s="124">
        <v>20000</v>
      </c>
      <c r="X394" s="122"/>
      <c r="Y394" s="122">
        <f t="shared" si="31"/>
        <v>24444</v>
      </c>
      <c r="Z394" s="123"/>
    </row>
    <row r="395" spans="1:26" ht="25" customHeight="1" outlineLevel="1" x14ac:dyDescent="0.35">
      <c r="B395" s="151"/>
      <c r="C395" s="151"/>
      <c r="D395" s="151"/>
      <c r="E395" s="3" t="s">
        <v>13</v>
      </c>
      <c r="F395" s="31" t="s">
        <v>21</v>
      </c>
      <c r="G395" s="35"/>
      <c r="H395" s="57" t="str">
        <f t="shared" si="33"/>
        <v/>
      </c>
      <c r="I395" s="57" t="str">
        <f t="shared" si="34"/>
        <v/>
      </c>
      <c r="J395" s="58" t="str">
        <f t="shared" si="35"/>
        <v/>
      </c>
      <c r="K395" s="3"/>
      <c r="L395" s="42"/>
      <c r="U395" s="121" t="str" cm="1">
        <f t="array" ref="U395">IF(C395="",INDEX(C389:C395,MATCH(TRUE,INDEX((C389:C395&lt;&gt;""),0),0)),C395)</f>
        <v>BOS Diligance</v>
      </c>
      <c r="V395" s="122">
        <f t="shared" si="32"/>
        <v>1.1428838601084721</v>
      </c>
      <c r="W395" s="124">
        <v>20000</v>
      </c>
      <c r="X395" s="122"/>
      <c r="Y395" s="122">
        <f t="shared" si="31"/>
        <v>24444</v>
      </c>
      <c r="Z395" s="123"/>
    </row>
    <row r="396" spans="1:26" ht="25" customHeight="1" outlineLevel="1" x14ac:dyDescent="0.35">
      <c r="B396" s="151"/>
      <c r="C396" s="151"/>
      <c r="D396" s="151"/>
      <c r="E396" s="3" t="s">
        <v>106</v>
      </c>
      <c r="F396" s="31" t="s">
        <v>21</v>
      </c>
      <c r="G396" s="35"/>
      <c r="H396" s="57" t="str">
        <f t="shared" si="33"/>
        <v/>
      </c>
      <c r="I396" s="57" t="str">
        <f t="shared" si="34"/>
        <v/>
      </c>
      <c r="J396" s="58" t="str">
        <f t="shared" si="35"/>
        <v/>
      </c>
      <c r="K396" s="3"/>
      <c r="L396" s="42"/>
      <c r="U396" s="121" t="str" cm="1">
        <f t="array" ref="U396">IF(C396="",INDEX(C390:C396,MATCH(TRUE,INDEX((C390:C396&lt;&gt;""),0),0)),C396)</f>
        <v>BOS Diligance</v>
      </c>
      <c r="V396" s="122">
        <f t="shared" si="32"/>
        <v>1.1428838601084721</v>
      </c>
      <c r="W396" s="124">
        <v>20000</v>
      </c>
      <c r="X396" s="122"/>
      <c r="Y396" s="122">
        <f t="shared" si="31"/>
        <v>24444</v>
      </c>
      <c r="Z396" s="123"/>
    </row>
    <row r="397" spans="1:26" ht="25" customHeight="1" outlineLevel="1" x14ac:dyDescent="0.35">
      <c r="B397" s="151"/>
      <c r="C397" s="151"/>
      <c r="D397" s="151"/>
      <c r="E397" s="3" t="s">
        <v>109</v>
      </c>
      <c r="F397" s="31" t="s">
        <v>17</v>
      </c>
      <c r="G397" s="35"/>
      <c r="H397" s="57">
        <f t="shared" si="33"/>
        <v>9485.9360389003177</v>
      </c>
      <c r="I397" s="57">
        <f t="shared" si="34"/>
        <v>1142.8838601084722</v>
      </c>
      <c r="J397" s="58">
        <f t="shared" si="35"/>
        <v>51.429773704881242</v>
      </c>
      <c r="K397" s="3"/>
      <c r="L397" s="42"/>
      <c r="U397" s="121" t="str" cm="1">
        <f t="array" ref="U397">IF(C397="",INDEX(C391:C397,MATCH(TRUE,INDEX((C391:C397&lt;&gt;""),0),0)),C397)</f>
        <v>BOS Diligance</v>
      </c>
      <c r="V397" s="122">
        <f t="shared" si="32"/>
        <v>1.1428838601084721</v>
      </c>
      <c r="W397" s="124">
        <v>20000</v>
      </c>
      <c r="X397" s="122"/>
      <c r="Y397" s="122">
        <f t="shared" si="31"/>
        <v>24444</v>
      </c>
      <c r="Z397" s="123"/>
    </row>
    <row r="398" spans="1:26" ht="25" customHeight="1" outlineLevel="1" x14ac:dyDescent="0.35">
      <c r="B398" s="151"/>
      <c r="C398" s="151"/>
      <c r="D398" s="151"/>
      <c r="E398" s="3" t="s">
        <v>95</v>
      </c>
      <c r="F398" s="31" t="s">
        <v>21</v>
      </c>
      <c r="G398" s="35"/>
      <c r="H398" s="57" t="str">
        <f t="shared" si="33"/>
        <v/>
      </c>
      <c r="I398" s="57" t="str">
        <f t="shared" si="34"/>
        <v/>
      </c>
      <c r="J398" s="58" t="str">
        <f t="shared" si="35"/>
        <v/>
      </c>
      <c r="K398" s="3"/>
      <c r="L398" s="42"/>
      <c r="U398" s="121" t="str" cm="1">
        <f t="array" ref="U398">IF(C398="",INDEX(C392:C398,MATCH(TRUE,INDEX((C392:C398&lt;&gt;""),0),0)),C398)</f>
        <v>BOS Diligance</v>
      </c>
      <c r="V398" s="122">
        <f t="shared" si="32"/>
        <v>1.1428838601084721</v>
      </c>
      <c r="W398" s="124">
        <v>20000</v>
      </c>
      <c r="X398" s="122"/>
      <c r="Y398" s="122">
        <f t="shared" si="31"/>
        <v>24444</v>
      </c>
      <c r="Z398" s="123"/>
    </row>
    <row r="399" spans="1:26" ht="25" customHeight="1" outlineLevel="1" x14ac:dyDescent="0.35">
      <c r="B399" s="151"/>
      <c r="C399" s="151"/>
      <c r="D399" s="151"/>
      <c r="E399" s="3" t="s">
        <v>112</v>
      </c>
      <c r="F399" s="31" t="s">
        <v>108</v>
      </c>
      <c r="G399" s="35"/>
      <c r="H399" s="57" t="str">
        <f t="shared" si="33"/>
        <v/>
      </c>
      <c r="I399" s="57" t="str">
        <f t="shared" si="34"/>
        <v/>
      </c>
      <c r="J399" s="58" t="str">
        <f t="shared" si="35"/>
        <v/>
      </c>
      <c r="K399" s="3"/>
      <c r="L399" s="42"/>
      <c r="U399" s="121" t="str" cm="1">
        <f t="array" ref="U399">IF(C399="",INDEX(C393:C399,MATCH(TRUE,INDEX((C393:C399&lt;&gt;""),0),0)),C399)</f>
        <v>BOS Diligance</v>
      </c>
      <c r="V399" s="122">
        <f t="shared" si="32"/>
        <v>1.1428838601084721</v>
      </c>
      <c r="W399" s="124">
        <v>20000</v>
      </c>
      <c r="X399" s="122"/>
      <c r="Y399" s="122">
        <f t="shared" si="31"/>
        <v>24444</v>
      </c>
      <c r="Z399" s="123"/>
    </row>
    <row r="400" spans="1:26" ht="25" customHeight="1" outlineLevel="1" x14ac:dyDescent="0.35">
      <c r="B400" s="151"/>
      <c r="C400" s="151"/>
      <c r="D400" s="151"/>
      <c r="E400" s="3" t="s">
        <v>113</v>
      </c>
      <c r="F400" s="31" t="s">
        <v>21</v>
      </c>
      <c r="G400" s="35"/>
      <c r="H400" s="57" t="str">
        <f t="shared" si="33"/>
        <v/>
      </c>
      <c r="I400" s="57" t="str">
        <f t="shared" si="34"/>
        <v/>
      </c>
      <c r="J400" s="58" t="str">
        <f t="shared" si="35"/>
        <v/>
      </c>
      <c r="K400" s="3"/>
      <c r="L400" s="42"/>
      <c r="U400" s="121" t="str" cm="1">
        <f t="array" ref="U400">IF(C400="",INDEX(C394:C400,MATCH(TRUE,INDEX((C394:C400&lt;&gt;""),0),0)),C400)</f>
        <v>BOS Diligance</v>
      </c>
      <c r="V400" s="122">
        <f t="shared" si="32"/>
        <v>1.1428838601084721</v>
      </c>
      <c r="W400" s="124">
        <v>20000</v>
      </c>
      <c r="X400" s="122"/>
      <c r="Y400" s="122">
        <f t="shared" ref="Y400:Y425" si="36">INT(VLOOKUP(U400, $AB$30:$AH$98, 7, FALSE))</f>
        <v>24444</v>
      </c>
      <c r="Z400" s="123"/>
    </row>
    <row r="401" spans="1:26" ht="25" customHeight="1" outlineLevel="1" x14ac:dyDescent="0.35">
      <c r="B401" s="152"/>
      <c r="C401" s="152"/>
      <c r="D401" s="152"/>
      <c r="E401" s="4" t="s">
        <v>14</v>
      </c>
      <c r="F401" s="31" t="s">
        <v>21</v>
      </c>
      <c r="G401" s="39"/>
      <c r="H401" s="65" t="str">
        <f t="shared" si="33"/>
        <v/>
      </c>
      <c r="I401" s="65" t="str">
        <f t="shared" si="34"/>
        <v/>
      </c>
      <c r="J401" s="66" t="str">
        <f t="shared" si="35"/>
        <v/>
      </c>
      <c r="K401" s="4"/>
      <c r="L401" s="43"/>
      <c r="U401" s="121" t="s">
        <v>96</v>
      </c>
      <c r="V401" s="122">
        <f t="shared" ref="V401:V425" si="37">MIN(Y401/21388,1.3)</f>
        <v>1.1428838601084721</v>
      </c>
      <c r="W401" s="124">
        <v>20000</v>
      </c>
      <c r="X401" s="122"/>
      <c r="Y401" s="122">
        <f t="shared" si="36"/>
        <v>24444</v>
      </c>
      <c r="Z401" s="123"/>
    </row>
    <row r="402" spans="1:26" ht="30" customHeight="1" x14ac:dyDescent="0.35">
      <c r="A402" s="8" t="s">
        <v>136</v>
      </c>
      <c r="B402" s="153">
        <v>66</v>
      </c>
      <c r="C402" s="153" t="s">
        <v>97</v>
      </c>
      <c r="D402" s="153" t="s">
        <v>88</v>
      </c>
      <c r="E402" s="27" t="s">
        <v>105</v>
      </c>
      <c r="F402" s="32"/>
      <c r="G402" s="37"/>
      <c r="H402" s="61" t="str">
        <f t="shared" si="33"/>
        <v/>
      </c>
      <c r="I402" s="61" t="str">
        <f t="shared" si="34"/>
        <v/>
      </c>
      <c r="J402" s="62" t="str">
        <f t="shared" si="35"/>
        <v/>
      </c>
      <c r="K402" s="6"/>
      <c r="L402" s="44"/>
      <c r="U402" s="121" t="str" cm="1">
        <f t="array" ref="U402">IF(C402="",INDEX(C396:C402,MATCH(TRUE,INDEX((C396:C402&lt;&gt;""),0),0)),C402)</f>
        <v>Mashhor Princess</v>
      </c>
      <c r="V402" s="122">
        <f t="shared" si="37"/>
        <v>0.85716289508135401</v>
      </c>
      <c r="W402" s="124">
        <v>20000</v>
      </c>
      <c r="X402" s="122"/>
      <c r="Y402" s="122">
        <f t="shared" si="36"/>
        <v>18333</v>
      </c>
      <c r="Z402" s="123"/>
    </row>
    <row r="403" spans="1:26" ht="25" customHeight="1" outlineLevel="1" x14ac:dyDescent="0.35">
      <c r="B403" s="154"/>
      <c r="C403" s="154"/>
      <c r="D403" s="154"/>
      <c r="E403" s="6" t="s">
        <v>13</v>
      </c>
      <c r="F403" s="32" t="s">
        <v>32</v>
      </c>
      <c r="G403" s="37"/>
      <c r="H403" s="61" t="str">
        <f t="shared" si="33"/>
        <v/>
      </c>
      <c r="I403" s="61" t="str">
        <f t="shared" si="34"/>
        <v/>
      </c>
      <c r="J403" s="62" t="str">
        <f t="shared" si="35"/>
        <v/>
      </c>
      <c r="K403" s="6"/>
      <c r="L403" s="45"/>
      <c r="U403" s="121" t="str" cm="1">
        <f t="array" ref="U403">IF(C403="",INDEX(C397:C403,MATCH(TRUE,INDEX((C397:C403&lt;&gt;""),0),0)),C403)</f>
        <v>Mashhor Princess</v>
      </c>
      <c r="V403" s="122">
        <f t="shared" si="37"/>
        <v>0.85716289508135401</v>
      </c>
      <c r="W403" s="124">
        <v>20000</v>
      </c>
      <c r="X403" s="122"/>
      <c r="Y403" s="122">
        <f t="shared" si="36"/>
        <v>18333</v>
      </c>
      <c r="Z403" s="123"/>
    </row>
    <row r="404" spans="1:26" ht="25" customHeight="1" outlineLevel="1" x14ac:dyDescent="0.35">
      <c r="B404" s="154"/>
      <c r="C404" s="154"/>
      <c r="D404" s="154"/>
      <c r="E404" s="6" t="s">
        <v>109</v>
      </c>
      <c r="F404" s="32" t="s">
        <v>17</v>
      </c>
      <c r="G404" s="37"/>
      <c r="H404" s="61">
        <f t="shared" si="33"/>
        <v>7114.4520291752387</v>
      </c>
      <c r="I404" s="61">
        <f t="shared" si="34"/>
        <v>857.16289508135401</v>
      </c>
      <c r="J404" s="62">
        <f t="shared" si="35"/>
        <v>38.572330278660928</v>
      </c>
      <c r="K404" s="6"/>
      <c r="L404" s="45"/>
      <c r="U404" s="121" t="str" cm="1">
        <f t="array" ref="U404">IF(C404="",INDEX(C398:C404,MATCH(TRUE,INDEX((C398:C404&lt;&gt;""),0),0)),C404)</f>
        <v>Mashhor Princess</v>
      </c>
      <c r="V404" s="122">
        <f t="shared" si="37"/>
        <v>0.85716289508135401</v>
      </c>
      <c r="W404" s="124">
        <v>20000</v>
      </c>
      <c r="X404" s="122"/>
      <c r="Y404" s="122">
        <f t="shared" si="36"/>
        <v>18333</v>
      </c>
      <c r="Z404" s="123"/>
    </row>
    <row r="405" spans="1:26" ht="25" customHeight="1" outlineLevel="1" x14ac:dyDescent="0.35">
      <c r="B405" s="154"/>
      <c r="C405" s="154"/>
      <c r="D405" s="154"/>
      <c r="E405" s="6" t="s">
        <v>112</v>
      </c>
      <c r="F405" s="32" t="s">
        <v>21</v>
      </c>
      <c r="G405" s="37"/>
      <c r="H405" s="61" t="str">
        <f t="shared" si="33"/>
        <v/>
      </c>
      <c r="I405" s="61" t="str">
        <f t="shared" si="34"/>
        <v/>
      </c>
      <c r="J405" s="62" t="str">
        <f t="shared" si="35"/>
        <v/>
      </c>
      <c r="K405" s="6"/>
      <c r="L405" s="45"/>
      <c r="U405" s="121" t="str" cm="1">
        <f t="array" ref="U405">IF(C405="",INDEX(C399:C405,MATCH(TRUE,INDEX((C399:C405&lt;&gt;""),0),0)),C405)</f>
        <v>Mashhor Princess</v>
      </c>
      <c r="V405" s="122">
        <f t="shared" si="37"/>
        <v>0.85716289508135401</v>
      </c>
      <c r="W405" s="124">
        <v>20000</v>
      </c>
      <c r="X405" s="122"/>
      <c r="Y405" s="122">
        <f t="shared" si="36"/>
        <v>18333</v>
      </c>
      <c r="Z405" s="123"/>
    </row>
    <row r="406" spans="1:26" ht="25" customHeight="1" outlineLevel="1" x14ac:dyDescent="0.35">
      <c r="B406" s="154"/>
      <c r="C406" s="154"/>
      <c r="D406" s="154"/>
      <c r="E406" s="6" t="s">
        <v>113</v>
      </c>
      <c r="F406" s="32" t="s">
        <v>32</v>
      </c>
      <c r="G406" s="37"/>
      <c r="H406" s="61" t="str">
        <f t="shared" si="33"/>
        <v/>
      </c>
      <c r="I406" s="61" t="str">
        <f t="shared" si="34"/>
        <v/>
      </c>
      <c r="J406" s="62" t="str">
        <f t="shared" si="35"/>
        <v/>
      </c>
      <c r="K406" s="6"/>
      <c r="L406" s="45"/>
      <c r="U406" s="121" t="str" cm="1">
        <f t="array" ref="U406">IF(C406="",INDEX(C400:C406,MATCH(TRUE,INDEX((C400:C406&lt;&gt;""),0),0)),C406)</f>
        <v>Mashhor Princess</v>
      </c>
      <c r="V406" s="122">
        <f t="shared" si="37"/>
        <v>0.85716289508135401</v>
      </c>
      <c r="W406" s="124">
        <v>20000</v>
      </c>
      <c r="X406" s="122"/>
      <c r="Y406" s="122">
        <f t="shared" si="36"/>
        <v>18333</v>
      </c>
      <c r="Z406" s="123"/>
    </row>
    <row r="407" spans="1:26" ht="25" customHeight="1" outlineLevel="1" x14ac:dyDescent="0.35">
      <c r="B407" s="155"/>
      <c r="C407" s="155"/>
      <c r="D407" s="155"/>
      <c r="E407" s="7" t="s">
        <v>14</v>
      </c>
      <c r="F407" s="32" t="s">
        <v>32</v>
      </c>
      <c r="G407" s="37"/>
      <c r="H407" s="61" t="str">
        <f t="shared" si="33"/>
        <v/>
      </c>
      <c r="I407" s="61" t="str">
        <f t="shared" si="34"/>
        <v/>
      </c>
      <c r="J407" s="62" t="str">
        <f t="shared" si="35"/>
        <v/>
      </c>
      <c r="K407" s="6"/>
      <c r="L407" s="46"/>
      <c r="U407" s="121" t="str" cm="1">
        <f t="array" ref="U407">IF(C407="",INDEX(C401:C407,MATCH(TRUE,INDEX((C401:C407&lt;&gt;""),0),0)),C407)</f>
        <v>Mashhor Princess</v>
      </c>
      <c r="V407" s="122">
        <f t="shared" si="37"/>
        <v>0.85716289508135401</v>
      </c>
      <c r="W407" s="124">
        <v>20000</v>
      </c>
      <c r="X407" s="122"/>
      <c r="Y407" s="122">
        <f t="shared" si="36"/>
        <v>18333</v>
      </c>
      <c r="Z407" s="123"/>
    </row>
    <row r="408" spans="1:26" ht="30" customHeight="1" x14ac:dyDescent="0.35">
      <c r="A408" s="8" t="s">
        <v>136</v>
      </c>
      <c r="B408" s="150">
        <v>67</v>
      </c>
      <c r="C408" s="150" t="s">
        <v>98</v>
      </c>
      <c r="D408" s="150" t="s">
        <v>12</v>
      </c>
      <c r="E408" s="26" t="s">
        <v>105</v>
      </c>
      <c r="F408" s="31"/>
      <c r="G408" s="34"/>
      <c r="H408" s="55" t="str">
        <f t="shared" si="33"/>
        <v/>
      </c>
      <c r="I408" s="55" t="str">
        <f t="shared" si="34"/>
        <v/>
      </c>
      <c r="J408" s="56" t="str">
        <f t="shared" si="35"/>
        <v/>
      </c>
      <c r="K408" s="2"/>
      <c r="L408" s="41"/>
      <c r="U408" s="121" t="str" cm="1">
        <f t="array" ref="U408">IF(C408="",INDEX(C402:C408,MATCH(TRUE,INDEX((C402:C408&lt;&gt;""),0),0)),C408)</f>
        <v>ENA Habitat</v>
      </c>
      <c r="V408" s="122">
        <f t="shared" si="37"/>
        <v>0.85716289508135401</v>
      </c>
      <c r="W408" s="124">
        <v>20000</v>
      </c>
      <c r="X408" s="122"/>
      <c r="Y408" s="122">
        <f t="shared" si="36"/>
        <v>18333</v>
      </c>
      <c r="Z408" s="123"/>
    </row>
    <row r="409" spans="1:26" ht="25" customHeight="1" outlineLevel="1" x14ac:dyDescent="0.35">
      <c r="B409" s="151"/>
      <c r="C409" s="151"/>
      <c r="D409" s="151"/>
      <c r="E409" s="3" t="s">
        <v>13</v>
      </c>
      <c r="F409" s="31" t="s">
        <v>32</v>
      </c>
      <c r="G409" s="35"/>
      <c r="H409" s="57" t="str">
        <f t="shared" si="33"/>
        <v/>
      </c>
      <c r="I409" s="57" t="str">
        <f t="shared" si="34"/>
        <v/>
      </c>
      <c r="J409" s="58" t="str">
        <f t="shared" si="35"/>
        <v/>
      </c>
      <c r="K409" s="3"/>
      <c r="L409" s="42"/>
      <c r="U409" s="121" t="str" cm="1">
        <f t="array" ref="U409">IF(C409="",INDEX(C403:C409,MATCH(TRUE,INDEX((C403:C409&lt;&gt;""),0),0)),C409)</f>
        <v>ENA Habitat</v>
      </c>
      <c r="V409" s="122">
        <f t="shared" si="37"/>
        <v>0.85716289508135401</v>
      </c>
      <c r="W409" s="124">
        <v>20000</v>
      </c>
      <c r="X409" s="122"/>
      <c r="Y409" s="122">
        <f t="shared" si="36"/>
        <v>18333</v>
      </c>
      <c r="Z409" s="123"/>
    </row>
    <row r="410" spans="1:26" ht="25" customHeight="1" outlineLevel="1" x14ac:dyDescent="0.35">
      <c r="B410" s="151"/>
      <c r="C410" s="151"/>
      <c r="D410" s="151"/>
      <c r="E410" s="3" t="s">
        <v>112</v>
      </c>
      <c r="F410" s="31" t="s">
        <v>21</v>
      </c>
      <c r="G410" s="35"/>
      <c r="H410" s="57" t="str">
        <f t="shared" si="33"/>
        <v/>
      </c>
      <c r="I410" s="57" t="str">
        <f t="shared" si="34"/>
        <v/>
      </c>
      <c r="J410" s="58" t="str">
        <f t="shared" si="35"/>
        <v/>
      </c>
      <c r="K410" s="3"/>
      <c r="L410" s="42"/>
      <c r="U410" s="121" t="str" cm="1">
        <f t="array" ref="U410">IF(C410="",INDEX(C404:C410,MATCH(TRUE,INDEX((C404:C410&lt;&gt;""),0),0)),C410)</f>
        <v>ENA Habitat</v>
      </c>
      <c r="V410" s="122">
        <f t="shared" si="37"/>
        <v>0.85716289508135401</v>
      </c>
      <c r="W410" s="124">
        <v>20000</v>
      </c>
      <c r="X410" s="122"/>
      <c r="Y410" s="122">
        <f t="shared" si="36"/>
        <v>18333</v>
      </c>
      <c r="Z410" s="123"/>
    </row>
    <row r="411" spans="1:26" ht="25" customHeight="1" outlineLevel="1" x14ac:dyDescent="0.35">
      <c r="B411" s="151"/>
      <c r="C411" s="151"/>
      <c r="D411" s="151"/>
      <c r="E411" s="3" t="s">
        <v>109</v>
      </c>
      <c r="F411" s="31" t="s">
        <v>17</v>
      </c>
      <c r="G411" s="35"/>
      <c r="H411" s="57">
        <f t="shared" si="33"/>
        <v>7114.4520291752387</v>
      </c>
      <c r="I411" s="57">
        <f t="shared" si="34"/>
        <v>857.16289508135401</v>
      </c>
      <c r="J411" s="58">
        <f t="shared" si="35"/>
        <v>38.572330278660928</v>
      </c>
      <c r="K411" s="3"/>
      <c r="L411" s="42"/>
      <c r="U411" s="121" t="str" cm="1">
        <f t="array" ref="U411">IF(C411="",INDEX(C405:C411,MATCH(TRUE,INDEX((C405:C411&lt;&gt;""),0),0)),C411)</f>
        <v>ENA Habitat</v>
      </c>
      <c r="V411" s="122">
        <f t="shared" si="37"/>
        <v>0.85716289508135401</v>
      </c>
      <c r="W411" s="124">
        <v>20000</v>
      </c>
      <c r="X411" s="122"/>
      <c r="Y411" s="122">
        <f t="shared" si="36"/>
        <v>18333</v>
      </c>
      <c r="Z411" s="123"/>
    </row>
    <row r="412" spans="1:26" ht="25" customHeight="1" outlineLevel="1" x14ac:dyDescent="0.35">
      <c r="B412" s="151"/>
      <c r="C412" s="151"/>
      <c r="D412" s="151"/>
      <c r="E412" s="3" t="s">
        <v>113</v>
      </c>
      <c r="F412" s="31" t="s">
        <v>32</v>
      </c>
      <c r="G412" s="35"/>
      <c r="H412" s="57" t="str">
        <f t="shared" si="33"/>
        <v/>
      </c>
      <c r="I412" s="57" t="str">
        <f t="shared" si="34"/>
        <v/>
      </c>
      <c r="J412" s="58" t="str">
        <f t="shared" si="35"/>
        <v/>
      </c>
      <c r="K412" s="3"/>
      <c r="L412" s="42"/>
      <c r="U412" s="121" t="str" cm="1">
        <f t="array" ref="U412">IF(C412="",INDEX(C406:C412,MATCH(TRUE,INDEX((C406:C412&lt;&gt;""),0),0)),C412)</f>
        <v>ENA Habitat</v>
      </c>
      <c r="V412" s="122">
        <f t="shared" si="37"/>
        <v>0.85716289508135401</v>
      </c>
      <c r="W412" s="124">
        <v>20000</v>
      </c>
      <c r="X412" s="122"/>
      <c r="Y412" s="122">
        <f t="shared" si="36"/>
        <v>18333</v>
      </c>
      <c r="Z412" s="123"/>
    </row>
    <row r="413" spans="1:26" ht="25" customHeight="1" outlineLevel="1" x14ac:dyDescent="0.35">
      <c r="B413" s="152"/>
      <c r="C413" s="152"/>
      <c r="D413" s="152"/>
      <c r="E413" s="4" t="s">
        <v>14</v>
      </c>
      <c r="F413" s="31" t="s">
        <v>32</v>
      </c>
      <c r="G413" s="39"/>
      <c r="H413" s="65" t="str">
        <f t="shared" si="33"/>
        <v/>
      </c>
      <c r="I413" s="65" t="str">
        <f t="shared" si="34"/>
        <v/>
      </c>
      <c r="J413" s="66" t="str">
        <f t="shared" si="35"/>
        <v/>
      </c>
      <c r="K413" s="4"/>
      <c r="L413" s="43"/>
      <c r="U413" s="121" t="str" cm="1">
        <f t="array" ref="U413">IF(C413="",INDEX(C407:C413,MATCH(TRUE,INDEX((C407:C413&lt;&gt;""),0),0)),C413)</f>
        <v>ENA Habitat</v>
      </c>
      <c r="V413" s="122">
        <f t="shared" si="37"/>
        <v>0.85716289508135401</v>
      </c>
      <c r="W413" s="124">
        <v>20000</v>
      </c>
      <c r="X413" s="122"/>
      <c r="Y413" s="122">
        <f t="shared" si="36"/>
        <v>18333</v>
      </c>
      <c r="Z413" s="123"/>
    </row>
    <row r="414" spans="1:26" ht="25" customHeight="1" x14ac:dyDescent="0.35">
      <c r="B414" s="153">
        <v>68</v>
      </c>
      <c r="C414" s="153" t="s">
        <v>291</v>
      </c>
      <c r="D414" s="153" t="s">
        <v>88</v>
      </c>
      <c r="E414" s="27" t="s">
        <v>105</v>
      </c>
      <c r="F414" s="32"/>
      <c r="G414" s="37"/>
      <c r="H414" s="61" t="str">
        <f t="shared" ref="H414:H425" si="38">IF(F414="Done", V414*VLOOKUP(E414, $AB$3:$AC$11, 2, FALSE), "")</f>
        <v/>
      </c>
      <c r="I414" s="61" t="str">
        <f t="shared" ref="I414:I425" si="39">IF(F414="Done", V414*VLOOKUP(E414, $AB$3:$AD$11, 3, FALSE), "")</f>
        <v/>
      </c>
      <c r="J414" s="62" t="str">
        <f t="shared" ref="J414:J425" si="40">IF(F414="Done", V414*VLOOKUP(E414, $AB$3:$AE$11, 4, FALSE), "")</f>
        <v/>
      </c>
      <c r="K414" s="6"/>
      <c r="L414" s="44"/>
      <c r="U414" s="72" t="str" cm="1">
        <f t="array" ref="U414">IF(C414="",INDEX(C408:C414,MATCH(TRUE,INDEX((C408:C414&lt;&gt;""),0),0)),C414)</f>
        <v>BOS Dominance</v>
      </c>
      <c r="V414" s="122">
        <f t="shared" si="37"/>
        <v>1</v>
      </c>
      <c r="W414" s="124">
        <v>20000</v>
      </c>
      <c r="X414" s="122"/>
      <c r="Y414" s="122">
        <f t="shared" si="36"/>
        <v>21388</v>
      </c>
      <c r="Z414" s="142"/>
    </row>
    <row r="415" spans="1:26" ht="25" customHeight="1" x14ac:dyDescent="0.35">
      <c r="B415" s="154"/>
      <c r="C415" s="154"/>
      <c r="D415" s="154"/>
      <c r="E415" s="6" t="s">
        <v>13</v>
      </c>
      <c r="F415" s="32"/>
      <c r="G415" s="37"/>
      <c r="H415" s="61" t="str">
        <f t="shared" si="38"/>
        <v/>
      </c>
      <c r="I415" s="61" t="str">
        <f t="shared" si="39"/>
        <v/>
      </c>
      <c r="J415" s="62" t="str">
        <f t="shared" si="40"/>
        <v/>
      </c>
      <c r="K415" s="6"/>
      <c r="L415" s="45"/>
      <c r="U415" s="72" t="str" cm="1">
        <f t="array" ref="U415">IF(C415="",INDEX(C409:C415,MATCH(TRUE,INDEX((C409:C415&lt;&gt;""),0),0)),C415)</f>
        <v>BOS Dominance</v>
      </c>
      <c r="V415" s="122">
        <f t="shared" si="37"/>
        <v>1</v>
      </c>
      <c r="W415" s="124">
        <v>20000</v>
      </c>
      <c r="X415" s="122"/>
      <c r="Y415" s="122">
        <f t="shared" si="36"/>
        <v>21388</v>
      </c>
      <c r="Z415" s="142"/>
    </row>
    <row r="416" spans="1:26" ht="25" customHeight="1" x14ac:dyDescent="0.35">
      <c r="B416" s="154"/>
      <c r="C416" s="154"/>
      <c r="D416" s="154"/>
      <c r="E416" s="6" t="s">
        <v>109</v>
      </c>
      <c r="F416" s="32"/>
      <c r="G416" s="37"/>
      <c r="H416" s="61" t="str">
        <f t="shared" si="38"/>
        <v/>
      </c>
      <c r="I416" s="61" t="str">
        <f t="shared" si="39"/>
        <v/>
      </c>
      <c r="J416" s="62" t="str">
        <f t="shared" si="40"/>
        <v/>
      </c>
      <c r="K416" s="6"/>
      <c r="L416" s="45"/>
      <c r="U416" s="72" t="str" cm="1">
        <f t="array" ref="U416">IF(C416="",INDEX(C410:C416,MATCH(TRUE,INDEX((C410:C416&lt;&gt;""),0),0)),C416)</f>
        <v>BOS Dominance</v>
      </c>
      <c r="V416" s="122">
        <f t="shared" si="37"/>
        <v>1</v>
      </c>
      <c r="W416" s="124">
        <v>20000</v>
      </c>
      <c r="X416" s="122"/>
      <c r="Y416" s="122">
        <f t="shared" si="36"/>
        <v>21388</v>
      </c>
      <c r="Z416" s="142"/>
    </row>
    <row r="417" spans="1:26" ht="25" customHeight="1" x14ac:dyDescent="0.35">
      <c r="B417" s="154"/>
      <c r="C417" s="154"/>
      <c r="D417" s="154"/>
      <c r="E417" s="6" t="s">
        <v>112</v>
      </c>
      <c r="F417" s="32"/>
      <c r="G417" s="37"/>
      <c r="H417" s="61" t="str">
        <f t="shared" si="38"/>
        <v/>
      </c>
      <c r="I417" s="61" t="str">
        <f t="shared" si="39"/>
        <v/>
      </c>
      <c r="J417" s="62" t="str">
        <f t="shared" si="40"/>
        <v/>
      </c>
      <c r="K417" s="6"/>
      <c r="L417" s="45"/>
      <c r="U417" s="72" t="str" cm="1">
        <f t="array" ref="U417">IF(C417="",INDEX(C411:C417,MATCH(TRUE,INDEX((C411:C417&lt;&gt;""),0),0)),C417)</f>
        <v>BOS Dominance</v>
      </c>
      <c r="V417" s="122">
        <f t="shared" si="37"/>
        <v>1</v>
      </c>
      <c r="W417" s="124">
        <v>20000</v>
      </c>
      <c r="X417" s="122"/>
      <c r="Y417" s="122">
        <f t="shared" si="36"/>
        <v>21388</v>
      </c>
      <c r="Z417" s="142"/>
    </row>
    <row r="418" spans="1:26" ht="25" customHeight="1" x14ac:dyDescent="0.35">
      <c r="B418" s="154"/>
      <c r="C418" s="154"/>
      <c r="D418" s="154"/>
      <c r="E418" s="6" t="s">
        <v>113</v>
      </c>
      <c r="F418" s="32"/>
      <c r="G418" s="37"/>
      <c r="H418" s="61" t="str">
        <f t="shared" si="38"/>
        <v/>
      </c>
      <c r="I418" s="61" t="str">
        <f t="shared" si="39"/>
        <v/>
      </c>
      <c r="J418" s="62" t="str">
        <f t="shared" si="40"/>
        <v/>
      </c>
      <c r="K418" s="6"/>
      <c r="L418" s="45"/>
      <c r="U418" s="72" t="str" cm="1">
        <f t="array" ref="U418">IF(C418="",INDEX(C412:C418,MATCH(TRUE,INDEX((C412:C418&lt;&gt;""),0),0)),C418)</f>
        <v>BOS Dominance</v>
      </c>
      <c r="V418" s="122">
        <f t="shared" si="37"/>
        <v>1</v>
      </c>
      <c r="W418" s="124">
        <v>20000</v>
      </c>
      <c r="X418" s="122"/>
      <c r="Y418" s="122">
        <f t="shared" si="36"/>
        <v>21388</v>
      </c>
      <c r="Z418" s="142"/>
    </row>
    <row r="419" spans="1:26" ht="25" customHeight="1" x14ac:dyDescent="0.35">
      <c r="B419" s="155"/>
      <c r="C419" s="155"/>
      <c r="D419" s="155"/>
      <c r="E419" s="7" t="s">
        <v>14</v>
      </c>
      <c r="F419" s="32" t="s">
        <v>108</v>
      </c>
      <c r="G419" s="37"/>
      <c r="H419" s="61" t="str">
        <f t="shared" si="38"/>
        <v/>
      </c>
      <c r="I419" s="61" t="str">
        <f t="shared" si="39"/>
        <v/>
      </c>
      <c r="J419" s="62" t="str">
        <f t="shared" si="40"/>
        <v/>
      </c>
      <c r="K419" s="6"/>
      <c r="L419" s="46"/>
      <c r="U419" s="72" t="str" cm="1">
        <f t="array" ref="U419">IF(C419="",INDEX(C413:C419,MATCH(TRUE,INDEX((C413:C419&lt;&gt;""),0),0)),C419)</f>
        <v>BOS Dominance</v>
      </c>
      <c r="V419" s="122">
        <f t="shared" si="37"/>
        <v>1</v>
      </c>
      <c r="W419" s="124">
        <v>20000</v>
      </c>
      <c r="X419" s="122"/>
      <c r="Y419" s="122">
        <f t="shared" si="36"/>
        <v>21388</v>
      </c>
      <c r="Z419" s="142"/>
    </row>
    <row r="420" spans="1:26" ht="25" customHeight="1" x14ac:dyDescent="0.35">
      <c r="B420" s="150">
        <v>69</v>
      </c>
      <c r="C420" s="150" t="s">
        <v>292</v>
      </c>
      <c r="D420" s="150" t="s">
        <v>12</v>
      </c>
      <c r="E420" s="26" t="s">
        <v>105</v>
      </c>
      <c r="F420" s="31"/>
      <c r="G420" s="34"/>
      <c r="H420" s="55" t="str">
        <f t="shared" si="38"/>
        <v/>
      </c>
      <c r="I420" s="55" t="str">
        <f t="shared" si="39"/>
        <v/>
      </c>
      <c r="J420" s="56" t="str">
        <f t="shared" si="40"/>
        <v/>
      </c>
      <c r="K420" s="2"/>
      <c r="L420" s="41"/>
      <c r="U420" s="72" t="str" cm="1">
        <f t="array" ref="U420">IF(C420="",INDEX(C414:C420,MATCH(TRUE,INDEX((C414:C420&lt;&gt;""),0),0)),C420)</f>
        <v>BOS Dignity</v>
      </c>
      <c r="V420" s="122">
        <f t="shared" si="37"/>
        <v>1</v>
      </c>
      <c r="W420" s="124">
        <v>20000</v>
      </c>
      <c r="X420" s="122"/>
      <c r="Y420" s="122">
        <f t="shared" si="36"/>
        <v>21388</v>
      </c>
      <c r="Z420" s="142"/>
    </row>
    <row r="421" spans="1:26" ht="25" customHeight="1" x14ac:dyDescent="0.35">
      <c r="B421" s="151"/>
      <c r="C421" s="151"/>
      <c r="D421" s="151"/>
      <c r="E421" s="3" t="s">
        <v>13</v>
      </c>
      <c r="F421" s="31"/>
      <c r="G421" s="35"/>
      <c r="H421" s="57" t="str">
        <f t="shared" si="38"/>
        <v/>
      </c>
      <c r="I421" s="57" t="str">
        <f t="shared" si="39"/>
        <v/>
      </c>
      <c r="J421" s="58" t="str">
        <f t="shared" si="40"/>
        <v/>
      </c>
      <c r="K421" s="3"/>
      <c r="L421" s="42"/>
      <c r="U421" s="72" t="str" cm="1">
        <f t="array" ref="U421">IF(C421="",INDEX(C415:C421,MATCH(TRUE,INDEX((C415:C421&lt;&gt;""),0),0)),C421)</f>
        <v>BOS Dignity</v>
      </c>
      <c r="V421" s="122">
        <f t="shared" si="37"/>
        <v>1</v>
      </c>
      <c r="W421" s="124">
        <v>20000</v>
      </c>
      <c r="X421" s="122"/>
      <c r="Y421" s="122">
        <f t="shared" si="36"/>
        <v>21388</v>
      </c>
      <c r="Z421" s="142"/>
    </row>
    <row r="422" spans="1:26" ht="25" customHeight="1" x14ac:dyDescent="0.35">
      <c r="B422" s="151"/>
      <c r="C422" s="151"/>
      <c r="D422" s="151"/>
      <c r="E422" s="3" t="s">
        <v>112</v>
      </c>
      <c r="F422" s="31"/>
      <c r="G422" s="35"/>
      <c r="H422" s="57" t="str">
        <f t="shared" si="38"/>
        <v/>
      </c>
      <c r="I422" s="57" t="str">
        <f t="shared" si="39"/>
        <v/>
      </c>
      <c r="J422" s="58" t="str">
        <f t="shared" si="40"/>
        <v/>
      </c>
      <c r="K422" s="3"/>
      <c r="L422" s="42"/>
      <c r="U422" s="72" t="str" cm="1">
        <f t="array" ref="U422">IF(C422="",INDEX(C416:C422,MATCH(TRUE,INDEX((C416:C422&lt;&gt;""),0),0)),C422)</f>
        <v>BOS Dignity</v>
      </c>
      <c r="V422" s="122">
        <f t="shared" si="37"/>
        <v>1</v>
      </c>
      <c r="W422" s="124">
        <v>20000</v>
      </c>
      <c r="X422" s="122"/>
      <c r="Y422" s="122">
        <f t="shared" si="36"/>
        <v>21388</v>
      </c>
      <c r="Z422" s="142"/>
    </row>
    <row r="423" spans="1:26" ht="25" customHeight="1" x14ac:dyDescent="0.35">
      <c r="B423" s="151"/>
      <c r="C423" s="151"/>
      <c r="D423" s="151"/>
      <c r="E423" s="3" t="s">
        <v>109</v>
      </c>
      <c r="F423" s="31"/>
      <c r="G423" s="35"/>
      <c r="H423" s="57" t="str">
        <f t="shared" si="38"/>
        <v/>
      </c>
      <c r="I423" s="57" t="str">
        <f t="shared" si="39"/>
        <v/>
      </c>
      <c r="J423" s="58" t="str">
        <f t="shared" si="40"/>
        <v/>
      </c>
      <c r="K423" s="3"/>
      <c r="L423" s="42"/>
      <c r="U423" s="72" t="str" cm="1">
        <f t="array" ref="U423">IF(C423="",INDEX(C417:C423,MATCH(TRUE,INDEX((C417:C423&lt;&gt;""),0),0)),C423)</f>
        <v>BOS Dignity</v>
      </c>
      <c r="V423" s="122">
        <f t="shared" si="37"/>
        <v>1</v>
      </c>
      <c r="W423" s="124">
        <v>20000</v>
      </c>
      <c r="X423" s="122"/>
      <c r="Y423" s="122">
        <f t="shared" si="36"/>
        <v>21388</v>
      </c>
      <c r="Z423" s="142"/>
    </row>
    <row r="424" spans="1:26" ht="30" customHeight="1" x14ac:dyDescent="0.35">
      <c r="B424" s="151"/>
      <c r="C424" s="151"/>
      <c r="D424" s="151"/>
      <c r="E424" s="3" t="s">
        <v>113</v>
      </c>
      <c r="F424" s="31"/>
      <c r="G424" s="35"/>
      <c r="H424" s="57" t="str">
        <f t="shared" si="38"/>
        <v/>
      </c>
      <c r="I424" s="57" t="str">
        <f t="shared" si="39"/>
        <v/>
      </c>
      <c r="J424" s="58" t="str">
        <f t="shared" si="40"/>
        <v/>
      </c>
      <c r="K424" s="3"/>
      <c r="L424" s="42"/>
      <c r="U424" s="72" t="str" cm="1">
        <f t="array" ref="U424">IF(C424="",INDEX(C418:C424,MATCH(TRUE,INDEX((C418:C424&lt;&gt;""),0),0)),C424)</f>
        <v>BOS Dignity</v>
      </c>
      <c r="V424" s="122">
        <f t="shared" si="37"/>
        <v>1</v>
      </c>
      <c r="W424" s="124">
        <v>20000</v>
      </c>
      <c r="X424" s="122"/>
      <c r="Y424" s="122">
        <f t="shared" si="36"/>
        <v>21388</v>
      </c>
      <c r="Z424" s="142"/>
    </row>
    <row r="425" spans="1:26" ht="41" customHeight="1" x14ac:dyDescent="0.35">
      <c r="B425" s="152"/>
      <c r="C425" s="152"/>
      <c r="D425" s="152"/>
      <c r="E425" s="4" t="s">
        <v>14</v>
      </c>
      <c r="F425" s="31" t="s">
        <v>108</v>
      </c>
      <c r="G425" s="39"/>
      <c r="H425" s="65" t="str">
        <f t="shared" si="38"/>
        <v/>
      </c>
      <c r="I425" s="65" t="str">
        <f t="shared" si="39"/>
        <v/>
      </c>
      <c r="J425" s="66" t="str">
        <f t="shared" si="40"/>
        <v/>
      </c>
      <c r="K425" s="4"/>
      <c r="L425" s="43"/>
      <c r="U425" s="73" t="str" cm="1">
        <f t="array" ref="U425">IF(C425="",INDEX(C419:C425,MATCH(TRUE,INDEX((C419:C425&lt;&gt;""),0),0)),C425)</f>
        <v>BOS Dignity</v>
      </c>
      <c r="V425" s="140">
        <f t="shared" si="37"/>
        <v>1</v>
      </c>
      <c r="W425" s="141">
        <v>20000</v>
      </c>
      <c r="X425" s="140"/>
      <c r="Y425" s="140">
        <f t="shared" si="36"/>
        <v>21388</v>
      </c>
      <c r="Z425" s="143"/>
    </row>
    <row r="426" spans="1:26" ht="20.149999999999999" customHeight="1" x14ac:dyDescent="0.35">
      <c r="B426" s="8"/>
      <c r="C426" s="8"/>
      <c r="D426" s="8"/>
      <c r="E426" s="8"/>
      <c r="F426" s="8"/>
      <c r="G426" s="11"/>
      <c r="H426" s="8"/>
      <c r="I426" s="8"/>
      <c r="J426" s="49"/>
      <c r="K426" s="9"/>
    </row>
    <row r="427" spans="1:26" ht="20.149999999999999" customHeight="1" x14ac:dyDescent="0.35">
      <c r="A427" s="8">
        <f>COUNTIF(A8:A425,"a")</f>
        <v>67</v>
      </c>
      <c r="B427" s="8"/>
      <c r="C427" s="8"/>
      <c r="D427" s="8"/>
      <c r="E427" s="8"/>
      <c r="F427" s="8"/>
      <c r="G427" s="11"/>
      <c r="H427" s="8"/>
      <c r="I427" s="8"/>
      <c r="J427" s="49"/>
      <c r="K427" s="9"/>
    </row>
    <row r="428" spans="1:26" ht="20.149999999999999" customHeight="1" x14ac:dyDescent="0.35">
      <c r="A428" s="108">
        <f>A427/69</f>
        <v>0.97101449275362317</v>
      </c>
      <c r="B428" s="8"/>
      <c r="C428" s="8"/>
      <c r="D428" s="8"/>
      <c r="E428" s="8"/>
      <c r="F428" s="8"/>
      <c r="G428" s="11"/>
      <c r="H428" s="8"/>
      <c r="I428" s="8"/>
      <c r="J428" s="49"/>
      <c r="K428" s="9"/>
    </row>
    <row r="429" spans="1:26" ht="20.149999999999999" customHeight="1" x14ac:dyDescent="0.35">
      <c r="B429" s="8"/>
      <c r="C429" s="8"/>
      <c r="D429" s="8"/>
      <c r="E429" s="8"/>
      <c r="F429" s="8"/>
      <c r="G429" s="11"/>
      <c r="H429" s="8"/>
      <c r="I429" s="8"/>
      <c r="J429" s="49"/>
      <c r="K429" s="9"/>
    </row>
    <row r="430" spans="1:26" ht="20.149999999999999" customHeight="1" x14ac:dyDescent="0.35">
      <c r="B430" s="8"/>
      <c r="C430" s="8"/>
      <c r="D430" s="8"/>
      <c r="E430" s="8"/>
      <c r="F430" s="8"/>
      <c r="G430" s="11"/>
      <c r="H430" s="8"/>
      <c r="I430" s="8"/>
      <c r="J430" s="49"/>
      <c r="K430" s="9"/>
    </row>
    <row r="431" spans="1:26" ht="20.149999999999999" customHeight="1" x14ac:dyDescent="0.35">
      <c r="B431" s="8"/>
      <c r="C431" s="8"/>
      <c r="D431" s="8"/>
      <c r="E431" s="8"/>
      <c r="F431" s="8"/>
      <c r="G431" s="11"/>
      <c r="H431" s="8"/>
      <c r="I431" s="8"/>
      <c r="J431" s="49"/>
      <c r="K431" s="9"/>
    </row>
    <row r="432" spans="1:26" ht="20.149999999999999" customHeight="1" x14ac:dyDescent="0.35">
      <c r="B432" s="8"/>
      <c r="C432" s="8"/>
      <c r="D432" s="8"/>
      <c r="E432" s="8"/>
      <c r="F432" s="8"/>
      <c r="G432" s="11"/>
      <c r="H432" s="8"/>
      <c r="I432" s="8"/>
      <c r="J432" s="49"/>
      <c r="K432" s="9"/>
    </row>
    <row r="433" spans="2:11" ht="20.149999999999999" customHeight="1" x14ac:dyDescent="0.35">
      <c r="B433" s="8"/>
      <c r="C433" s="8"/>
      <c r="D433" s="8"/>
      <c r="E433" s="8"/>
      <c r="F433" s="8"/>
      <c r="G433" s="11"/>
      <c r="H433" s="8"/>
      <c r="I433" s="8"/>
      <c r="J433" s="49"/>
      <c r="K433" s="9"/>
    </row>
    <row r="434" spans="2:11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2:11" ht="20.149999999999999" customHeight="1" x14ac:dyDescent="0.35"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2:11" ht="20.149999999999999" customHeight="1" x14ac:dyDescent="0.35"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2:11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2:11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2:11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2:11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2:11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2:11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2:11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2:11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2:11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2:11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2:11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2:11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  <row r="691" spans="2:11" ht="20.149999999999999" customHeight="1" x14ac:dyDescent="0.35">
      <c r="B691" s="8"/>
      <c r="C691" s="8"/>
      <c r="D691" s="8"/>
      <c r="E691" s="8"/>
      <c r="F691" s="8"/>
      <c r="G691" s="11"/>
      <c r="H691" s="8"/>
      <c r="I691" s="8"/>
      <c r="J691" s="49"/>
      <c r="K691" s="9"/>
    </row>
    <row r="692" spans="2:11" ht="20.149999999999999" customHeight="1" x14ac:dyDescent="0.35">
      <c r="B692" s="8"/>
      <c r="C692" s="8"/>
      <c r="D692" s="8"/>
      <c r="E692" s="8"/>
      <c r="F692" s="8"/>
      <c r="G692" s="11"/>
      <c r="H692" s="8"/>
      <c r="I692" s="8"/>
      <c r="J692" s="49"/>
      <c r="K692" s="9"/>
    </row>
    <row r="693" spans="2:11" ht="20.149999999999999" customHeight="1" x14ac:dyDescent="0.35">
      <c r="B693" s="8"/>
      <c r="C693" s="8"/>
      <c r="D693" s="8"/>
      <c r="E693" s="8"/>
      <c r="F693" s="8"/>
      <c r="G693" s="11"/>
      <c r="H693" s="8"/>
      <c r="I693" s="8"/>
      <c r="J693" s="49"/>
      <c r="K693" s="9"/>
    </row>
    <row r="694" spans="2:11" ht="20.149999999999999" customHeight="1" x14ac:dyDescent="0.35">
      <c r="B694" s="8"/>
      <c r="C694" s="8"/>
      <c r="D694" s="8"/>
      <c r="E694" s="8"/>
      <c r="F694" s="8"/>
      <c r="G694" s="11"/>
      <c r="H694" s="8"/>
      <c r="I694" s="8"/>
      <c r="J694" s="49"/>
      <c r="K694" s="9"/>
    </row>
    <row r="695" spans="2:11" ht="20.149999999999999" customHeight="1" x14ac:dyDescent="0.35">
      <c r="B695" s="8"/>
      <c r="C695" s="8"/>
      <c r="D695" s="8"/>
      <c r="E695" s="8"/>
      <c r="F695" s="8"/>
      <c r="G695" s="11"/>
      <c r="H695" s="8"/>
      <c r="I695" s="8"/>
      <c r="J695" s="49"/>
      <c r="K695" s="9"/>
    </row>
    <row r="696" spans="2:11" ht="20.149999999999999" customHeight="1" x14ac:dyDescent="0.35">
      <c r="B696" s="8"/>
      <c r="C696" s="8"/>
      <c r="D696" s="8"/>
      <c r="E696" s="8"/>
      <c r="F696" s="8"/>
      <c r="G696" s="11"/>
      <c r="H696" s="8"/>
      <c r="I696" s="8"/>
      <c r="J696" s="49"/>
      <c r="K696" s="9"/>
    </row>
    <row r="697" spans="2:11" ht="20.149999999999999" customHeight="1" x14ac:dyDescent="0.35">
      <c r="B697" s="8"/>
      <c r="C697" s="8"/>
      <c r="D697" s="8"/>
      <c r="E697" s="8"/>
      <c r="F697" s="8"/>
      <c r="G697" s="11"/>
      <c r="H697" s="8"/>
      <c r="I697" s="8"/>
      <c r="J697" s="49"/>
      <c r="K697" s="9"/>
    </row>
    <row r="698" spans="2:11" ht="20.149999999999999" customHeight="1" x14ac:dyDescent="0.35">
      <c r="B698" s="8"/>
      <c r="C698" s="8"/>
      <c r="D698" s="8"/>
      <c r="E698" s="8"/>
      <c r="F698" s="8"/>
      <c r="G698" s="11"/>
      <c r="H698" s="8"/>
      <c r="I698" s="8"/>
      <c r="J698" s="49"/>
      <c r="K698" s="9"/>
    </row>
    <row r="699" spans="2:11" ht="20.149999999999999" customHeight="1" x14ac:dyDescent="0.35">
      <c r="B699" s="8"/>
      <c r="C699" s="8"/>
      <c r="D699" s="8"/>
      <c r="E699" s="8"/>
      <c r="F699" s="8"/>
      <c r="G699" s="11"/>
      <c r="H699" s="8"/>
      <c r="I699" s="8"/>
      <c r="J699" s="49"/>
      <c r="K699" s="9"/>
    </row>
    <row r="700" spans="2:11" ht="20.149999999999999" customHeight="1" x14ac:dyDescent="0.35">
      <c r="B700" s="8"/>
      <c r="C700" s="8"/>
      <c r="D700" s="8"/>
      <c r="E700" s="8"/>
      <c r="F700" s="8"/>
      <c r="G700" s="11"/>
      <c r="H700" s="8"/>
      <c r="I700" s="8"/>
      <c r="J700" s="49"/>
      <c r="K700" s="9"/>
    </row>
    <row r="701" spans="2:11" ht="20.149999999999999" customHeight="1" x14ac:dyDescent="0.35">
      <c r="B701" s="8"/>
      <c r="C701" s="8"/>
      <c r="D701" s="8"/>
      <c r="E701" s="8"/>
      <c r="F701" s="8"/>
      <c r="G701" s="11"/>
      <c r="H701" s="8"/>
      <c r="I701" s="8"/>
      <c r="J701" s="49"/>
      <c r="K701" s="9"/>
    </row>
    <row r="702" spans="2:11" ht="20.149999999999999" customHeight="1" x14ac:dyDescent="0.35">
      <c r="B702" s="8"/>
      <c r="C702" s="8"/>
      <c r="D702" s="8"/>
      <c r="E702" s="8"/>
      <c r="F702" s="8"/>
      <c r="G702" s="11"/>
      <c r="H702" s="8"/>
      <c r="I702" s="8"/>
      <c r="J702" s="49"/>
      <c r="K702" s="9"/>
    </row>
  </sheetData>
  <autoFilter ref="B8:K423" xr:uid="{00000000-0001-0000-0000-000000000000}"/>
  <mergeCells count="233">
    <mergeCell ref="B414:B419"/>
    <mergeCell ref="C414:C419"/>
    <mergeCell ref="D414:D419"/>
    <mergeCell ref="B420:B425"/>
    <mergeCell ref="C420:C425"/>
    <mergeCell ref="D420:D425"/>
    <mergeCell ref="K324:K330"/>
    <mergeCell ref="D306:D311"/>
    <mergeCell ref="B312:B317"/>
    <mergeCell ref="B318:B323"/>
    <mergeCell ref="C344:C349"/>
    <mergeCell ref="B337:B343"/>
    <mergeCell ref="B368:B373"/>
    <mergeCell ref="B356:B361"/>
    <mergeCell ref="C356:C361"/>
    <mergeCell ref="D331:D336"/>
    <mergeCell ref="D337:D343"/>
    <mergeCell ref="D344:D349"/>
    <mergeCell ref="B362:B367"/>
    <mergeCell ref="C362:C367"/>
    <mergeCell ref="D362:D367"/>
    <mergeCell ref="B324:B330"/>
    <mergeCell ref="C331:C336"/>
    <mergeCell ref="C337:C343"/>
    <mergeCell ref="B374:B379"/>
    <mergeCell ref="C374:C379"/>
    <mergeCell ref="D374:D379"/>
    <mergeCell ref="C368:C373"/>
    <mergeCell ref="D368:D373"/>
    <mergeCell ref="B331:B336"/>
    <mergeCell ref="D350:D355"/>
    <mergeCell ref="C324:C330"/>
    <mergeCell ref="B84:B88"/>
    <mergeCell ref="B89:B94"/>
    <mergeCell ref="B95:B100"/>
    <mergeCell ref="B220:B225"/>
    <mergeCell ref="B226:B231"/>
    <mergeCell ref="B232:B237"/>
    <mergeCell ref="B238:B243"/>
    <mergeCell ref="B244:B250"/>
    <mergeCell ref="B285:B291"/>
    <mergeCell ref="B344:B349"/>
    <mergeCell ref="B350:B355"/>
    <mergeCell ref="C350:C355"/>
    <mergeCell ref="D356:D361"/>
    <mergeCell ref="D324:D330"/>
    <mergeCell ref="B408:B413"/>
    <mergeCell ref="C408:C413"/>
    <mergeCell ref="D408:D413"/>
    <mergeCell ref="B380:B385"/>
    <mergeCell ref="C380:C385"/>
    <mergeCell ref="D380:D385"/>
    <mergeCell ref="C386:C393"/>
    <mergeCell ref="D386:D393"/>
    <mergeCell ref="B394:B401"/>
    <mergeCell ref="C394:C401"/>
    <mergeCell ref="D394:D401"/>
    <mergeCell ref="B386:B393"/>
    <mergeCell ref="B402:B407"/>
    <mergeCell ref="C402:C407"/>
    <mergeCell ref="D402:D407"/>
    <mergeCell ref="B2:D3"/>
    <mergeCell ref="C4:D6"/>
    <mergeCell ref="B4:B6"/>
    <mergeCell ref="E2:H3"/>
    <mergeCell ref="E4:E6"/>
    <mergeCell ref="F4:G6"/>
    <mergeCell ref="H4:H6"/>
    <mergeCell ref="B214:B21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101:B106"/>
    <mergeCell ref="B107:B113"/>
    <mergeCell ref="B114:B119"/>
    <mergeCell ref="B120:B126"/>
    <mergeCell ref="B127:B132"/>
    <mergeCell ref="B133:B141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C133:C141"/>
    <mergeCell ref="B251:B257"/>
    <mergeCell ref="B258:B265"/>
    <mergeCell ref="B266:B272"/>
    <mergeCell ref="B273:B278"/>
    <mergeCell ref="D208:D213"/>
    <mergeCell ref="D214:D219"/>
    <mergeCell ref="D220:D225"/>
    <mergeCell ref="D226:D231"/>
    <mergeCell ref="D232:D237"/>
    <mergeCell ref="D238:D243"/>
    <mergeCell ref="D244:D250"/>
    <mergeCell ref="D251:D257"/>
    <mergeCell ref="D258:D265"/>
    <mergeCell ref="C160:C165"/>
    <mergeCell ref="C166:C171"/>
    <mergeCell ref="C172:C177"/>
    <mergeCell ref="C178:C183"/>
    <mergeCell ref="C184:C189"/>
    <mergeCell ref="C190:C195"/>
    <mergeCell ref="C196:C201"/>
    <mergeCell ref="D273:D278"/>
    <mergeCell ref="D266:D272"/>
    <mergeCell ref="D202:D207"/>
    <mergeCell ref="C9:C13"/>
    <mergeCell ref="C14:C18"/>
    <mergeCell ref="C19:C23"/>
    <mergeCell ref="C24:C28"/>
    <mergeCell ref="C29:C33"/>
    <mergeCell ref="C34:C38"/>
    <mergeCell ref="D9:D13"/>
    <mergeCell ref="D14:D18"/>
    <mergeCell ref="D19:D23"/>
    <mergeCell ref="D24:D28"/>
    <mergeCell ref="D29:D33"/>
    <mergeCell ref="D34:D38"/>
    <mergeCell ref="C54:C58"/>
    <mergeCell ref="C59:C63"/>
    <mergeCell ref="C64:C68"/>
    <mergeCell ref="B142:B147"/>
    <mergeCell ref="B148:B153"/>
    <mergeCell ref="B154:B159"/>
    <mergeCell ref="B54:B58"/>
    <mergeCell ref="B59:B63"/>
    <mergeCell ref="B64:B68"/>
    <mergeCell ref="B69:B73"/>
    <mergeCell ref="B74:B78"/>
    <mergeCell ref="B79:B83"/>
    <mergeCell ref="C69:C73"/>
    <mergeCell ref="C74:C78"/>
    <mergeCell ref="C79:C83"/>
    <mergeCell ref="C84:C88"/>
    <mergeCell ref="C89:C94"/>
    <mergeCell ref="C95:C100"/>
    <mergeCell ref="C142:C147"/>
    <mergeCell ref="C148:C153"/>
    <mergeCell ref="C154:C159"/>
    <mergeCell ref="C114:C119"/>
    <mergeCell ref="C120:C126"/>
    <mergeCell ref="C127:C132"/>
    <mergeCell ref="B279:B284"/>
    <mergeCell ref="C285:C291"/>
    <mergeCell ref="C226:C231"/>
    <mergeCell ref="C232:C237"/>
    <mergeCell ref="C238:C243"/>
    <mergeCell ref="C244:C250"/>
    <mergeCell ref="C306:C311"/>
    <mergeCell ref="C312:C317"/>
    <mergeCell ref="C318:C323"/>
    <mergeCell ref="B299:B305"/>
    <mergeCell ref="B306:B311"/>
    <mergeCell ref="B292:B298"/>
    <mergeCell ref="C101:C106"/>
    <mergeCell ref="C107:C113"/>
    <mergeCell ref="K24:K28"/>
    <mergeCell ref="K89:K94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4"/>
    <mergeCell ref="D95:D100"/>
    <mergeCell ref="D101:D106"/>
    <mergeCell ref="D107:D113"/>
    <mergeCell ref="K101:K106"/>
    <mergeCell ref="K59:K63"/>
    <mergeCell ref="K84:K88"/>
    <mergeCell ref="C39:C43"/>
    <mergeCell ref="C44:C48"/>
    <mergeCell ref="C49:C53"/>
    <mergeCell ref="C202:C207"/>
    <mergeCell ref="C208:C213"/>
    <mergeCell ref="C292:C298"/>
    <mergeCell ref="C299:C305"/>
    <mergeCell ref="C214:C219"/>
    <mergeCell ref="C220:C225"/>
    <mergeCell ref="C251:C257"/>
    <mergeCell ref="C258:C265"/>
    <mergeCell ref="C266:C272"/>
    <mergeCell ref="C273:C278"/>
    <mergeCell ref="C279:C284"/>
    <mergeCell ref="D312:D317"/>
    <mergeCell ref="D318:D323"/>
    <mergeCell ref="D114:D119"/>
    <mergeCell ref="D120:D126"/>
    <mergeCell ref="D127:D132"/>
    <mergeCell ref="D133:D141"/>
    <mergeCell ref="D142:D147"/>
    <mergeCell ref="D148:D153"/>
    <mergeCell ref="D154:D159"/>
    <mergeCell ref="D160:D165"/>
    <mergeCell ref="D166:D171"/>
    <mergeCell ref="D172:D177"/>
    <mergeCell ref="D178:D183"/>
    <mergeCell ref="D184:D189"/>
    <mergeCell ref="D190:D195"/>
    <mergeCell ref="D196:D201"/>
    <mergeCell ref="D279:D284"/>
    <mergeCell ref="D285:D291"/>
    <mergeCell ref="D292:D298"/>
    <mergeCell ref="D299:D305"/>
    <mergeCell ref="AB1:AE1"/>
    <mergeCell ref="K178:K183"/>
    <mergeCell ref="K14:K18"/>
    <mergeCell ref="K318:K323"/>
    <mergeCell ref="K107:K113"/>
    <mergeCell ref="K114:K119"/>
    <mergeCell ref="K64:K68"/>
    <mergeCell ref="T2:T6"/>
    <mergeCell ref="U2:W6"/>
    <mergeCell ref="K190:K195"/>
    <mergeCell ref="K2:K6"/>
    <mergeCell ref="K79:K83"/>
    <mergeCell ref="AC25:AD25"/>
  </mergeCells>
  <phoneticPr fontId="2" type="noConversion"/>
  <conditionalFormatting sqref="F7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26:F1048576" xr:uid="{4A5273A3-6589-4683-88CC-9C97744168AD}">
      <formula1>"Not Installed, In Process, Done, Failed"</formula1>
    </dataValidation>
    <dataValidation type="list" allowBlank="1" showInputMessage="1" showErrorMessage="1" sqref="F9:F425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61"/>
  <sheetViews>
    <sheetView topLeftCell="G1" workbookViewId="0">
      <selection activeCell="O12" sqref="O12:O13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100</v>
      </c>
      <c r="B2" s="20" t="s">
        <v>283</v>
      </c>
      <c r="C2" s="23" t="s">
        <v>101</v>
      </c>
      <c r="D2" s="23" t="s">
        <v>110</v>
      </c>
      <c r="E2" s="23" t="s">
        <v>114</v>
      </c>
      <c r="F2" s="23" t="s">
        <v>111</v>
      </c>
      <c r="G2" s="20" t="s">
        <v>287</v>
      </c>
      <c r="I2" s="19" t="s">
        <v>105</v>
      </c>
      <c r="J2" s="19" t="s">
        <v>253</v>
      </c>
      <c r="K2" s="19" t="s">
        <v>254</v>
      </c>
      <c r="N2" s="109" t="s">
        <v>186</v>
      </c>
      <c r="O2" s="114" t="s">
        <v>193</v>
      </c>
      <c r="R2" s="19" t="s">
        <v>197</v>
      </c>
      <c r="T2" s="19" t="s">
        <v>199</v>
      </c>
      <c r="U2" s="19" t="s">
        <v>200</v>
      </c>
      <c r="V2" s="19" t="s">
        <v>201</v>
      </c>
      <c r="W2" s="19" t="s">
        <v>114</v>
      </c>
    </row>
    <row r="3" spans="1:23" ht="25" customHeight="1" x14ac:dyDescent="0.35">
      <c r="A3" s="21" t="s">
        <v>13</v>
      </c>
      <c r="B3" s="139" t="s">
        <v>284</v>
      </c>
      <c r="C3" s="21">
        <f>COUNTIFS(Tracker!E:E,A3,Tracker!F:F,"Done")</f>
        <v>47</v>
      </c>
      <c r="D3" s="21">
        <f>COUNTIFS(Tracker!E:E,A3,Tracker!F:F,"In Process")</f>
        <v>1</v>
      </c>
      <c r="E3" s="21">
        <f>COUNTIF(Tracker!E:E,A3)-COUNTIFS(Tracker!E:E,A3,Tracker!F:F,"No need")</f>
        <v>64</v>
      </c>
      <c r="F3" s="24">
        <f>(C3+D3)/E3</f>
        <v>0.75</v>
      </c>
      <c r="G3" s="28" t="b">
        <v>1</v>
      </c>
      <c r="I3" s="19" t="s">
        <v>205</v>
      </c>
      <c r="J3" s="118">
        <f>R15</f>
        <v>0.58213744736722906</v>
      </c>
      <c r="K3" s="130">
        <v>0.8</v>
      </c>
      <c r="M3" s="19"/>
      <c r="N3" s="110">
        <f>C3*(Tracker!AC3+Tracker!AD3)</f>
        <v>667400</v>
      </c>
      <c r="O3" s="115">
        <f>C3*(Tracker!AE3)</f>
        <v>3008</v>
      </c>
      <c r="Q3" s="110" t="str">
        <f>A3</f>
        <v>MGPS</v>
      </c>
      <c r="R3" s="116">
        <f t="shared" ref="R3:R14" si="0">F3</f>
        <v>0.75</v>
      </c>
      <c r="S3" s="8" t="s">
        <v>203</v>
      </c>
      <c r="T3" s="8">
        <f>SUM(C3:C14)</f>
        <v>182</v>
      </c>
      <c r="U3" s="8">
        <f>SUM(D3:D14)</f>
        <v>20</v>
      </c>
      <c r="V3" s="8">
        <f>W4-T3-U3</f>
        <v>249</v>
      </c>
      <c r="W3" s="8">
        <v>0</v>
      </c>
    </row>
    <row r="4" spans="1:23" ht="25" customHeight="1" x14ac:dyDescent="0.35">
      <c r="A4" s="22" t="s">
        <v>95</v>
      </c>
      <c r="B4" s="111" t="s">
        <v>284</v>
      </c>
      <c r="C4" s="22">
        <f>COUNTIFS(Tracker!E:E,A4,Tracker!F:F,"Done")</f>
        <v>0</v>
      </c>
      <c r="D4" s="22">
        <f>COUNTIFS(Tracker!E:E,A4,Tracker!F:F,"In Process")</f>
        <v>1</v>
      </c>
      <c r="E4" s="22">
        <f>COUNTIF(Tracker!E:E,A4)-COUNTIFS(Tracker!E:E,A4,Tracker!F:F,"No need")</f>
        <v>2</v>
      </c>
      <c r="F4" s="25">
        <f t="shared" ref="F4:F13" si="1">(C4+D4)/E4</f>
        <v>0.5</v>
      </c>
      <c r="G4" s="28" t="b">
        <v>0</v>
      </c>
      <c r="I4" s="19" t="s">
        <v>206</v>
      </c>
      <c r="J4" s="118">
        <f>Tracker!A428</f>
        <v>0.97101449275362317</v>
      </c>
      <c r="K4" s="130">
        <v>1</v>
      </c>
      <c r="N4" s="110">
        <f>C4*(Tracker!AC4+Tracker!AD4)</f>
        <v>0</v>
      </c>
      <c r="O4" s="115">
        <f>C4*(Tracker!AE4)</f>
        <v>0</v>
      </c>
      <c r="Q4" s="110" t="str">
        <f t="shared" ref="Q4:Q14" si="2">A4</f>
        <v>Chlorinator</v>
      </c>
      <c r="R4" s="116">
        <f t="shared" si="0"/>
        <v>0.5</v>
      </c>
      <c r="S4" s="19" t="s">
        <v>114</v>
      </c>
      <c r="T4" s="8">
        <v>0</v>
      </c>
      <c r="U4" s="8">
        <v>0</v>
      </c>
      <c r="V4" s="8">
        <v>0</v>
      </c>
      <c r="W4" s="8">
        <f>SUM(E3:E14)</f>
        <v>451</v>
      </c>
    </row>
    <row r="5" spans="1:23" ht="25" customHeight="1" x14ac:dyDescent="0.35">
      <c r="A5" s="22" t="s">
        <v>113</v>
      </c>
      <c r="B5" s="111">
        <v>3</v>
      </c>
      <c r="C5" s="22">
        <f>COUNTIFS(Tracker!E:E,A5,Tracker!F:F,"Done")</f>
        <v>12</v>
      </c>
      <c r="D5" s="22">
        <f>COUNTIFS(Tracker!E:E,A5,Tracker!F:F,"In Process")</f>
        <v>1</v>
      </c>
      <c r="E5" s="22">
        <f>COUNTIF(Tracker!E:E,A5)-COUNTIFS(Tracker!E:E,A5,Tracker!F:F,"No need")</f>
        <v>42</v>
      </c>
      <c r="F5" s="25">
        <f>(C5+D5)/E5</f>
        <v>0.30952380952380953</v>
      </c>
      <c r="G5" s="28" t="b">
        <v>1</v>
      </c>
      <c r="I5" s="19" t="s">
        <v>207</v>
      </c>
      <c r="J5" s="119">
        <f>1-(Tracker!AE103-C18)/(Tracker!AE103)</f>
        <v>8.008335199358696E-2</v>
      </c>
      <c r="K5" s="130">
        <v>0.2</v>
      </c>
      <c r="N5" s="110">
        <f>C5*(Tracker!AC5+Tracker!AD5)</f>
        <v>6000</v>
      </c>
      <c r="O5" s="115">
        <f>C5*(Tracker!AE5)</f>
        <v>0</v>
      </c>
      <c r="Q5" s="110" t="str">
        <f t="shared" si="2"/>
        <v>CMCE LP</v>
      </c>
      <c r="R5" s="116">
        <f t="shared" si="0"/>
        <v>0.30952380952380953</v>
      </c>
      <c r="S5" s="8" t="s">
        <v>202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14</v>
      </c>
      <c r="B6" s="111">
        <v>3</v>
      </c>
      <c r="C6" s="22">
        <f>COUNTIFS(Tracker!E:E,A6,Tracker!F:F,"Done")</f>
        <v>21</v>
      </c>
      <c r="D6" s="22">
        <f>COUNTIFS(Tracker!E:E,A6,Tracker!F:F,"In Process")</f>
        <v>13</v>
      </c>
      <c r="E6" s="22">
        <f>COUNTIF(Tracker!E:E,A6)-COUNTIFS(Tracker!E:E,A6,Tracker!F:F,"No need")</f>
        <v>61</v>
      </c>
      <c r="F6" s="25">
        <f t="shared" si="1"/>
        <v>0.55737704918032782</v>
      </c>
      <c r="G6" s="28" t="b">
        <v>1</v>
      </c>
      <c r="K6" s="108"/>
      <c r="N6" s="110">
        <f>C6*(Tracker!AC6+Tracker!AD6)</f>
        <v>119700</v>
      </c>
      <c r="O6" s="115">
        <f>C6*(Tracker!AE6)</f>
        <v>231</v>
      </c>
      <c r="Q6" s="110" t="str">
        <f t="shared" si="2"/>
        <v>IWTM Filter</v>
      </c>
      <c r="R6" s="116">
        <f t="shared" si="0"/>
        <v>0.55737704918032782</v>
      </c>
    </row>
    <row r="7" spans="1:23" ht="25" customHeight="1" x14ac:dyDescent="0.35">
      <c r="A7" s="22" t="s">
        <v>109</v>
      </c>
      <c r="B7" s="111" t="s">
        <v>284</v>
      </c>
      <c r="C7" s="22">
        <f>COUNTIFS(Tracker!E:E,A7,Tracker!F:F,"Done")</f>
        <v>25</v>
      </c>
      <c r="D7" s="22">
        <f>COUNTIFS(Tracker!E:E,A7,Tracker!F:F,"In Process")</f>
        <v>2</v>
      </c>
      <c r="E7" s="22">
        <f>COUNTIF(Tracker!E:E,A7)-COUNTIFS(Tracker!E:E,A7,Tracker!F:F,"No need")</f>
        <v>68</v>
      </c>
      <c r="F7" s="25">
        <f t="shared" si="1"/>
        <v>0.39705882352941174</v>
      </c>
      <c r="G7" s="28" t="b">
        <v>1</v>
      </c>
      <c r="N7" s="110">
        <f>C7*(Tracker!AC7+Tracker!AD7)</f>
        <v>232500</v>
      </c>
      <c r="O7" s="115">
        <f>C7*(Tracker!AE7)</f>
        <v>1125</v>
      </c>
      <c r="Q7" s="110" t="str">
        <f t="shared" si="2"/>
        <v>LED lights</v>
      </c>
      <c r="R7" s="116">
        <f t="shared" si="0"/>
        <v>0.39705882352941174</v>
      </c>
    </row>
    <row r="8" spans="1:23" ht="25" customHeight="1" x14ac:dyDescent="0.35">
      <c r="A8" s="22" t="s">
        <v>112</v>
      </c>
      <c r="B8" s="111">
        <v>1</v>
      </c>
      <c r="C8" s="22">
        <f>COUNTIFS(Tracker!E:E,A8,Tracker!F:F,"Done")</f>
        <v>16</v>
      </c>
      <c r="D8" s="22">
        <f>COUNTIFS(Tracker!E:E,A8,Tracker!F:F,"In Process")</f>
        <v>1</v>
      </c>
      <c r="E8" s="22">
        <f>COUNTIF(Tracker!E:E,A8)-COUNTIFS(Tracker!E:E,A8,Tracker!F:F,"No need")</f>
        <v>67</v>
      </c>
      <c r="F8" s="25">
        <f t="shared" si="1"/>
        <v>0.2537313432835821</v>
      </c>
      <c r="G8" s="28" t="b">
        <v>1</v>
      </c>
      <c r="N8" s="110">
        <f>C8*(Tracker!AC8+Tracker!AD8)</f>
        <v>288000</v>
      </c>
      <c r="O8" s="115">
        <f>C8*(Tracker!AE8)</f>
        <v>1360</v>
      </c>
      <c r="Q8" s="110" t="str">
        <f t="shared" si="2"/>
        <v>EFMS</v>
      </c>
      <c r="R8" s="116">
        <f t="shared" si="0"/>
        <v>0.2537313432835821</v>
      </c>
    </row>
    <row r="9" spans="1:23" ht="25" customHeight="1" x14ac:dyDescent="0.35">
      <c r="A9" s="22" t="s">
        <v>286</v>
      </c>
      <c r="B9" s="111">
        <v>3</v>
      </c>
      <c r="C9" s="22">
        <f>COUNTIFS(Tracker!E:E,A9,Tracker!F:F,"Done")</f>
        <v>1</v>
      </c>
      <c r="D9" s="22">
        <f>COUNTIFS(Tracker!E:E,A9,Tracker!F:F,"In Process")</f>
        <v>0</v>
      </c>
      <c r="E9" s="22">
        <v>67</v>
      </c>
      <c r="F9" s="25">
        <f t="shared" si="1"/>
        <v>1.4925373134328358E-2</v>
      </c>
      <c r="G9" s="28" t="b">
        <v>0</v>
      </c>
      <c r="N9" s="110">
        <v>0</v>
      </c>
      <c r="O9" s="115">
        <v>0</v>
      </c>
      <c r="Q9" s="110" t="str">
        <f t="shared" si="2"/>
        <v>Deva Paint</v>
      </c>
      <c r="R9" s="116">
        <f t="shared" si="0"/>
        <v>1.4925373134328358E-2</v>
      </c>
    </row>
    <row r="10" spans="1:23" ht="25" customHeight="1" x14ac:dyDescent="0.35">
      <c r="A10" s="22" t="s">
        <v>106</v>
      </c>
      <c r="B10" s="111">
        <v>3</v>
      </c>
      <c r="C10" s="22">
        <f>COUNTIFS(Tracker!E:E,A10,Tracker!F:F,"Done")</f>
        <v>4</v>
      </c>
      <c r="D10" s="22">
        <f>COUNTIFS(Tracker!E:E,A10,Tracker!F:F,"In Process")</f>
        <v>0</v>
      </c>
      <c r="E10" s="22">
        <f>COUNTIF(Tracker!E:E,A10)-COUNTIFS(Tracker!E:E,A10,Tracker!F:F,"No need")</f>
        <v>5</v>
      </c>
      <c r="F10" s="25">
        <f t="shared" si="1"/>
        <v>0.8</v>
      </c>
      <c r="G10" s="28" t="b">
        <v>0</v>
      </c>
      <c r="N10" s="110">
        <f>C10*(Tracker!AC10+Tracker!AD10)</f>
        <v>16000</v>
      </c>
      <c r="O10" s="115">
        <f>C10*(Tracker!AE10)</f>
        <v>0</v>
      </c>
      <c r="Q10" s="110" t="str">
        <f t="shared" si="2"/>
        <v>AI CCTV</v>
      </c>
      <c r="R10" s="116">
        <f t="shared" si="0"/>
        <v>0.8</v>
      </c>
    </row>
    <row r="11" spans="1:23" ht="25" customHeight="1" x14ac:dyDescent="0.35">
      <c r="A11" s="22" t="s">
        <v>131</v>
      </c>
      <c r="B11" s="111">
        <v>3</v>
      </c>
      <c r="C11" s="22">
        <v>55</v>
      </c>
      <c r="D11" s="22">
        <f>COUNTIFS(Tracker!E:E,A11,Tracker!F:F,"In Process")</f>
        <v>0</v>
      </c>
      <c r="E11" s="22">
        <v>67</v>
      </c>
      <c r="F11" s="25">
        <f t="shared" si="1"/>
        <v>0.82089552238805974</v>
      </c>
      <c r="G11" s="28" t="b">
        <v>1</v>
      </c>
      <c r="N11" s="110">
        <f>C11*(Tracker!AC11+Tracker!AD11)</f>
        <v>110000</v>
      </c>
      <c r="O11" s="115">
        <f>C11*(Tracker!AE11)</f>
        <v>0</v>
      </c>
      <c r="Q11" s="110" t="str">
        <f t="shared" si="2"/>
        <v>Nautilus Log</v>
      </c>
      <c r="R11" s="116">
        <f t="shared" si="0"/>
        <v>0.82089552238805974</v>
      </c>
    </row>
    <row r="12" spans="1:23" ht="25" customHeight="1" x14ac:dyDescent="0.35">
      <c r="A12" s="22" t="s">
        <v>194</v>
      </c>
      <c r="B12" s="111">
        <v>2</v>
      </c>
      <c r="C12" s="111">
        <v>1</v>
      </c>
      <c r="D12" s="8">
        <v>0</v>
      </c>
      <c r="E12" s="22">
        <v>1</v>
      </c>
      <c r="F12" s="25">
        <f t="shared" si="1"/>
        <v>1</v>
      </c>
      <c r="G12" s="28" t="b">
        <v>1</v>
      </c>
      <c r="N12" s="110">
        <f>C12*(Tracker!AC12+Tracker!AD12)</f>
        <v>0</v>
      </c>
      <c r="O12" s="115">
        <f>C12*(Tracker!AE12)</f>
        <v>0</v>
      </c>
      <c r="Q12" s="110" t="str">
        <f t="shared" si="2"/>
        <v>RE Conversion</v>
      </c>
      <c r="R12" s="116">
        <f t="shared" si="0"/>
        <v>1</v>
      </c>
    </row>
    <row r="13" spans="1:23" ht="25" customHeight="1" x14ac:dyDescent="0.35">
      <c r="A13" s="22" t="s">
        <v>295</v>
      </c>
      <c r="B13" s="111" t="s">
        <v>284</v>
      </c>
      <c r="C13" s="111">
        <f>COUNTIFS(Tracker!E:E,A13,Tracker!F:F,"Done")</f>
        <v>0</v>
      </c>
      <c r="D13" s="8">
        <f>COUNTIFS(Tracker!E:E,A13,Tracker!F:F,"In process")</f>
        <v>0</v>
      </c>
      <c r="E13" s="22">
        <f>COUNTIF(Tracker!E:E,A13)-COUNTIFS(Tracker!E:E,A13,Tracker!F:F,"No need")</f>
        <v>6</v>
      </c>
      <c r="F13" s="25">
        <f t="shared" si="1"/>
        <v>0</v>
      </c>
      <c r="G13" s="28" t="b">
        <v>0</v>
      </c>
      <c r="N13" s="110">
        <f>C13*(Tracker!AC13+Tracker!AD13)</f>
        <v>0</v>
      </c>
      <c r="O13" s="115">
        <f>C13*(Tracker!AE13)</f>
        <v>0</v>
      </c>
      <c r="Q13" s="110" t="str">
        <f t="shared" si="2"/>
        <v>Silicon Hempel X7</v>
      </c>
      <c r="R13" s="116"/>
    </row>
    <row r="14" spans="1:23" ht="25" customHeight="1" x14ac:dyDescent="0.35">
      <c r="A14" s="138" t="s">
        <v>189</v>
      </c>
      <c r="B14" s="94">
        <v>3</v>
      </c>
      <c r="C14" s="94">
        <f>COUNTIFS(Tracker!E:E,A14,Tracker!F:F,"Done")</f>
        <v>0</v>
      </c>
      <c r="D14" s="101">
        <f>COUNTIFS(Tracker!E:E,A14,Tracker!F:F,"In Process")</f>
        <v>1</v>
      </c>
      <c r="E14" s="94">
        <f>COUNTIF(Tracker!E:E,A14)-COUNTIFS(Tracker!E:E,A14,Tracker!F:F,"No need")</f>
        <v>1</v>
      </c>
      <c r="F14" s="112">
        <f>(C14+D14)/E14</f>
        <v>1</v>
      </c>
      <c r="G14" s="29" t="b">
        <v>0</v>
      </c>
      <c r="N14" s="110">
        <f>C14*(Tracker!AC12+Tracker!AD12)</f>
        <v>0</v>
      </c>
      <c r="O14" s="115">
        <f>C14*(Tracker!AE12)</f>
        <v>0</v>
      </c>
      <c r="Q14" s="110" t="str">
        <f t="shared" si="2"/>
        <v>IOW Separator</v>
      </c>
      <c r="R14" s="116">
        <f t="shared" si="0"/>
        <v>1</v>
      </c>
    </row>
    <row r="15" spans="1:23" ht="25" customHeight="1" x14ac:dyDescent="0.35">
      <c r="Q15" s="110" t="s">
        <v>198</v>
      </c>
      <c r="R15" s="117">
        <f>AVERAGE(R3:R14)</f>
        <v>0.58213744736722906</v>
      </c>
    </row>
    <row r="16" spans="1:23" ht="25" customHeight="1" thickBot="1" x14ac:dyDescent="0.4"/>
    <row r="17" spans="1:19" ht="26" customHeight="1" thickBot="1" x14ac:dyDescent="0.4">
      <c r="B17" s="200" t="e" vm="1">
        <v>#VALUE!</v>
      </c>
      <c r="C17" s="201"/>
      <c r="D17" s="202" t="s">
        <v>195</v>
      </c>
      <c r="E17" s="205" t="str">
        <f>INDEX(A23:A91, MATCH(G18, B23:B91, 0))</f>
        <v>BOS Defiance</v>
      </c>
    </row>
    <row r="18" spans="1:19" ht="31" customHeight="1" x14ac:dyDescent="0.35">
      <c r="B18" s="96" t="s">
        <v>122</v>
      </c>
      <c r="C18" s="97">
        <f>SUM(Tracker!H9:H425)+SUM(Tracker!I9:I425)+C11*Tracker!AD23</f>
        <v>1324152.780063587</v>
      </c>
      <c r="D18" s="203"/>
      <c r="E18" s="206"/>
      <c r="G18" s="89">
        <f>MAX(B23:B89)</f>
        <v>59087.095567608005</v>
      </c>
    </row>
    <row r="19" spans="1:19" ht="32.5" customHeight="1" x14ac:dyDescent="0.35">
      <c r="B19" s="87" t="s">
        <v>130</v>
      </c>
      <c r="C19" s="95">
        <f>SUM(Tracker!J9:J425)</f>
        <v>5122.8096502711796</v>
      </c>
      <c r="D19" s="203" t="s">
        <v>196</v>
      </c>
      <c r="E19" s="206" t="s">
        <v>73</v>
      </c>
    </row>
    <row r="20" spans="1:19" ht="32.5" customHeight="1" thickBot="1" x14ac:dyDescent="0.4">
      <c r="B20" s="88" t="s">
        <v>165</v>
      </c>
      <c r="C20" s="98">
        <v>12</v>
      </c>
      <c r="D20" s="204"/>
      <c r="E20" s="207"/>
    </row>
    <row r="22" spans="1:19" ht="64" customHeight="1" x14ac:dyDescent="0.35">
      <c r="A22" s="74" t="s">
        <v>123</v>
      </c>
      <c r="B22" s="77">
        <f>SUM(B23:B50)</f>
        <v>544563.75818215811</v>
      </c>
      <c r="C22" s="75" t="s">
        <v>124</v>
      </c>
      <c r="D22" s="78">
        <f>SUM(D23:D50)</f>
        <v>309455.44697961473</v>
      </c>
      <c r="E22" s="76" t="s">
        <v>125</v>
      </c>
      <c r="F22" s="79">
        <f>SUM(F23:F50)</f>
        <v>360133.57490181411</v>
      </c>
    </row>
    <row r="23" spans="1:19" ht="25" customHeight="1" x14ac:dyDescent="0.35">
      <c r="A23" s="68" t="s">
        <v>11</v>
      </c>
      <c r="B23" s="80">
        <f>SUMIF(Tracker!$U$9:$U$425, A23, Tracker!$H$9:$H$425)+SUMIF(Tracker!$U$9:$U$425, A23, Tracker!$I$9:$I$425)</f>
        <v>0</v>
      </c>
      <c r="C23" s="70" t="s">
        <v>96</v>
      </c>
      <c r="D23" s="81">
        <f>SUMIF(Tracker!$U$9:$U$425, C23, Tracker!$H$9:$H$425)+SUMIF(Tracker!$U$9:$U$425, C23, Tracker!$I$9:$I$425)</f>
        <v>10628.819899008789</v>
      </c>
      <c r="E23" s="72" t="s">
        <v>44</v>
      </c>
      <c r="F23" s="84">
        <f>SUMIF(Tracker!$U$9:$U$425, E23, Tracker!$H$9:$H$425)+SUMIF(Tracker!$U$9:$U$425, E23, Tracker!$I$9:$I$425)</f>
        <v>0</v>
      </c>
    </row>
    <row r="24" spans="1:19" ht="25" customHeight="1" x14ac:dyDescent="0.35">
      <c r="A24" s="68" t="s">
        <v>15</v>
      </c>
      <c r="B24" s="80">
        <f>SUMIF(Tracker!$U$9:$U$425, A24, Tracker!$H$9:$H$425)+SUMIF(Tracker!$U$9:$U$425, A24, Tracker!$I$9:$I$425)</f>
        <v>7303.160650832242</v>
      </c>
      <c r="C24" s="70" t="s">
        <v>42</v>
      </c>
      <c r="D24" s="82">
        <f>SUMIF(Tracker!$U$9:$U$425, C24, Tracker!$H$9:$H$425)+SUMIF(Tracker!$U$9:$U$425, C24, Tracker!$I$9:$I$425)</f>
        <v>24000</v>
      </c>
      <c r="E24" s="72" t="s">
        <v>56</v>
      </c>
      <c r="F24" s="85">
        <f>SUMIF(Tracker!$U$9:$U$425, E24, Tracker!$H$9:$H$425)+SUMIF(Tracker!$U$9:$U$425, E24, Tracker!$I$9:$I$425)</f>
        <v>17289.882176921637</v>
      </c>
      <c r="Q24" s="8" t="s">
        <v>192</v>
      </c>
      <c r="R24" s="8" t="s">
        <v>190</v>
      </c>
      <c r="S24" s="8" t="s">
        <v>191</v>
      </c>
    </row>
    <row r="25" spans="1:19" ht="25" customHeight="1" x14ac:dyDescent="0.35">
      <c r="A25" s="68" t="s">
        <v>16</v>
      </c>
      <c r="B25" s="80">
        <f>SUMIF(Tracker!$U$9:$U$425, A25, Tracker!$H$9:$H$425)+SUMIF(Tracker!$U$9:$U$425, A25, Tracker!$I$9:$I$425)</f>
        <v>37960</v>
      </c>
      <c r="C25" s="70" t="s">
        <v>43</v>
      </c>
      <c r="D25" s="82">
        <f>SUMIF(Tracker!$U$9:$U$425, C25, Tracker!$H$9:$H$425)+SUMIF(Tracker!$U$9:$U$425, C25, Tracker!$I$9:$I$425)</f>
        <v>9781.4381896390496</v>
      </c>
      <c r="E25" s="72" t="s">
        <v>54</v>
      </c>
      <c r="F25" s="85">
        <f>SUMIF(Tracker!$U$9:$U$425, E25, Tracker!$H$9:$H$425)+SUMIF(Tracker!$U$9:$U$425, E25, Tracker!$I$9:$I$425)</f>
        <v>10447.503272863287</v>
      </c>
      <c r="Q25" s="8" t="s">
        <v>125</v>
      </c>
      <c r="R25" s="93">
        <f>F22</f>
        <v>360133.57490181411</v>
      </c>
      <c r="S25" s="113">
        <f>R25/23</f>
        <v>15657.981517470178</v>
      </c>
    </row>
    <row r="26" spans="1:19" ht="25" customHeight="1" x14ac:dyDescent="0.35">
      <c r="A26" s="68" t="s">
        <v>18</v>
      </c>
      <c r="B26" s="80">
        <f>SUMIF(Tracker!$U$9:$U$425, A26, Tracker!$H$9:$H$425)+SUMIF(Tracker!$U$9:$U$425, A26, Tracker!$I$9:$I$425)</f>
        <v>25870</v>
      </c>
      <c r="C26" s="70" t="s">
        <v>93</v>
      </c>
      <c r="D26" s="82">
        <f>SUMIF(Tracker!$U$9:$U$425, C26, Tracker!$H$9:$H$425)+SUMIF(Tracker!$U$9:$U$425, C26, Tracker!$I$9:$I$425)</f>
        <v>59087.095567608005</v>
      </c>
      <c r="E26" s="72" t="s">
        <v>58</v>
      </c>
      <c r="F26" s="85">
        <f>SUMIF(Tracker!$U$9:$U$425, E26, Tracker!$H$9:$H$425)+SUMIF(Tracker!$U$9:$U$425, E26, Tracker!$I$9:$I$425)</f>
        <v>18479.236020198245</v>
      </c>
      <c r="Q26" s="8" t="s">
        <v>124</v>
      </c>
      <c r="R26" s="93">
        <f>D22</f>
        <v>309455.44697961473</v>
      </c>
      <c r="S26" s="113">
        <f>R26/16</f>
        <v>19340.965436225921</v>
      </c>
    </row>
    <row r="27" spans="1:19" ht="25" customHeight="1" x14ac:dyDescent="0.35">
      <c r="A27" s="68" t="s">
        <v>19</v>
      </c>
      <c r="B27" s="80">
        <f>SUMIF(Tracker!$U$9:$U$425, A27, Tracker!$H$9:$H$425)+SUMIF(Tracker!$U$9:$U$425, A27, Tracker!$I$9:$I$425)</f>
        <v>25870</v>
      </c>
      <c r="C27" s="70" t="s">
        <v>261</v>
      </c>
      <c r="D27" s="82">
        <f>SUMIF(Tracker!$U$9:$U$425, C27, Tracker!$H$9:$H$425)+SUMIF(Tracker!$U$9:$U$425, C27, Tracker!$I$9:$I$425)</f>
        <v>642.88386010847205</v>
      </c>
      <c r="E27" s="72" t="s">
        <v>60</v>
      </c>
      <c r="F27" s="85">
        <f>SUMIF(Tracker!$U$9:$U$425, E27, Tracker!$H$9:$H$425)+SUMIF(Tracker!$U$9:$U$425, E27, Tracker!$I$9:$I$425)</f>
        <v>13186.18851692538</v>
      </c>
      <c r="Q27" s="8" t="s">
        <v>123</v>
      </c>
      <c r="R27" s="93">
        <f>B22</f>
        <v>544563.75818215811</v>
      </c>
      <c r="S27" s="113">
        <f>R27/28</f>
        <v>19448.70564936279</v>
      </c>
    </row>
    <row r="28" spans="1:19" ht="25" customHeight="1" x14ac:dyDescent="0.35">
      <c r="A28" s="68" t="s">
        <v>20</v>
      </c>
      <c r="B28" s="80">
        <f>SUMIF(Tracker!$U$9:$U$425, A28, Tracker!$H$9:$H$425)+SUMIF(Tracker!$U$9:$U$425, A28, Tracker!$I$9:$I$425)</f>
        <v>15352.066579390314</v>
      </c>
      <c r="C28" s="70" t="s">
        <v>98</v>
      </c>
      <c r="D28" s="82">
        <f>SUMIF(Tracker!$U$9:$U$425, C28, Tracker!$H$9:$H$425)+SUMIF(Tracker!$U$9:$U$425, C28, Tracker!$I$9:$I$425)</f>
        <v>7971.6149242565925</v>
      </c>
      <c r="E28" s="72" t="s">
        <v>63</v>
      </c>
      <c r="F28" s="85">
        <f>SUMIF(Tracker!$U$9:$U$425, E28, Tracker!$H$9:$H$425)+SUMIF(Tracker!$U$9:$U$425, E28, Tracker!$I$9:$I$425)</f>
        <v>17289.882176921637</v>
      </c>
    </row>
    <row r="29" spans="1:19" ht="25" customHeight="1" x14ac:dyDescent="0.35">
      <c r="A29" s="68" t="s">
        <v>22</v>
      </c>
      <c r="B29" s="80">
        <f>SUMIF(Tracker!$U$9:$U$425, A29, Tracker!$H$9:$H$425)+SUMIF(Tracker!$U$9:$U$425, A29, Tracker!$I$9:$I$425)</f>
        <v>15352.066579390314</v>
      </c>
      <c r="C29" s="70" t="s">
        <v>90</v>
      </c>
      <c r="D29" s="82">
        <f>SUMIF(Tracker!$U$9:$U$425, C29, Tracker!$H$9:$H$425)+SUMIF(Tracker!$U$9:$U$425, C29, Tracker!$I$9:$I$425)</f>
        <v>12171.713110155226</v>
      </c>
      <c r="E29" s="72" t="s">
        <v>66</v>
      </c>
      <c r="F29" s="85">
        <f>SUMIF(Tracker!$U$9:$U$425, E29, Tracker!$H$9:$H$425)+SUMIF(Tracker!$U$9:$U$425, E29, Tracker!$I$9:$I$425)</f>
        <v>0</v>
      </c>
    </row>
    <row r="30" spans="1:19" ht="25" customHeight="1" x14ac:dyDescent="0.35">
      <c r="A30" s="68" t="s">
        <v>23</v>
      </c>
      <c r="B30" s="80">
        <f>SUMIF(Tracker!$U$9:$U$425, A30, Tracker!$H$9:$H$425)+SUMIF(Tracker!$U$9:$U$425, A30, Tracker!$I$9:$I$425)</f>
        <v>10954.740976248364</v>
      </c>
      <c r="C30" s="70" t="s">
        <v>89</v>
      </c>
      <c r="D30" s="82">
        <f>SUMIF(Tracker!$U$9:$U$425, C30, Tracker!$H$9:$H$425)+SUMIF(Tracker!$U$9:$U$425, C30, Tracker!$I$9:$I$425)</f>
        <v>12171.713110155226</v>
      </c>
      <c r="E30" s="72" t="s">
        <v>67</v>
      </c>
      <c r="F30" s="85">
        <f>SUMIF(Tracker!$U$9:$U$425, E30, Tracker!$H$9:$H$425)+SUMIF(Tracker!$U$9:$U$425, E30, Tracker!$I$9:$I$425)</f>
        <v>0</v>
      </c>
    </row>
    <row r="31" spans="1:19" ht="25" customHeight="1" x14ac:dyDescent="0.35">
      <c r="A31" s="68" t="s">
        <v>24</v>
      </c>
      <c r="B31" s="80">
        <f>SUMIF(Tracker!$U$9:$U$425, A31, Tracker!$H$9:$H$425)+SUMIF(Tracker!$U$9:$U$425, A31, Tracker!$I$9:$I$425)</f>
        <v>10954.740976248364</v>
      </c>
      <c r="C31" s="70" t="s">
        <v>46</v>
      </c>
      <c r="D31" s="82">
        <f>SUMIF(Tracker!$U$9:$U$425, C31, Tracker!$H$9:$H$425)+SUMIF(Tracker!$U$9:$U$425, C31, Tracker!$I$9:$I$425)</f>
        <v>30533.196184776505</v>
      </c>
      <c r="E31" s="72" t="s">
        <v>71</v>
      </c>
      <c r="F31" s="85">
        <f>SUMIF(Tracker!$U$9:$U$425, E31, Tracker!$H$9:$H$425)+SUMIF(Tracker!$U$9:$U$425, E31, Tracker!$I$9:$I$425)</f>
        <v>33943.650645221613</v>
      </c>
    </row>
    <row r="32" spans="1:19" ht="25" customHeight="1" x14ac:dyDescent="0.35">
      <c r="A32" s="68" t="s">
        <v>25</v>
      </c>
      <c r="B32" s="80">
        <f>SUMIF(Tracker!$U$9:$U$425, A32, Tracker!$H$9:$H$425)+SUMIF(Tracker!$U$9:$U$425, A32, Tracker!$I$9:$I$425)</f>
        <v>10954.740976248364</v>
      </c>
      <c r="C32" s="70" t="s">
        <v>47</v>
      </c>
      <c r="D32" s="82">
        <f>SUMIF(Tracker!$U$9:$U$425, C32, Tracker!$H$9:$H$425)+SUMIF(Tracker!$U$9:$U$425, C32, Tracker!$I$9:$I$425)</f>
        <v>20085.692911913222</v>
      </c>
      <c r="E32" s="72" t="s">
        <v>73</v>
      </c>
      <c r="F32" s="85">
        <f>SUMIF(Tracker!$U$9:$U$425, E32, Tracker!$H$9:$H$425)+SUMIF(Tracker!$U$9:$U$425, E32, Tracker!$I$9:$I$425)</f>
        <v>34900</v>
      </c>
    </row>
    <row r="33" spans="1:6" ht="25" customHeight="1" x14ac:dyDescent="0.35">
      <c r="A33" s="68" t="s">
        <v>26</v>
      </c>
      <c r="B33" s="80">
        <f>SUMIF(Tracker!$U$9:$U$425, A33, Tracker!$H$9:$H$425)+SUMIF(Tracker!$U$9:$U$425, A33, Tracker!$I$9:$I$425)</f>
        <v>15352.066579390314</v>
      </c>
      <c r="C33" s="70" t="s">
        <v>48</v>
      </c>
      <c r="D33" s="82">
        <f>SUMIF(Tracker!$U$9:$U$425, C33, Tracker!$H$9:$H$425)+SUMIF(Tracker!$U$9:$U$425, C33, Tracker!$I$9:$I$425)</f>
        <v>20085.692911913222</v>
      </c>
      <c r="E33" s="72" t="s">
        <v>74</v>
      </c>
      <c r="F33" s="85">
        <f>SUMIF(Tracker!$U$9:$U$425, E33, Tracker!$H$9:$H$425)+SUMIF(Tracker!$U$9:$U$425, E33, Tracker!$I$9:$I$425)</f>
        <v>0</v>
      </c>
    </row>
    <row r="34" spans="1:6" ht="25" customHeight="1" x14ac:dyDescent="0.35">
      <c r="A34" s="68" t="s">
        <v>27</v>
      </c>
      <c r="B34" s="80">
        <f>SUMIF(Tracker!$U$9:$U$425, A34, Tracker!$H$9:$H$425)+SUMIF(Tracker!$U$9:$U$425, A34, Tracker!$I$9:$I$425)</f>
        <v>24225.172994202356</v>
      </c>
      <c r="C34" s="70" t="s">
        <v>50</v>
      </c>
      <c r="D34" s="82">
        <f>SUMIF(Tracker!$U$9:$U$425, C34, Tracker!$H$9:$H$425)+SUMIF(Tracker!$U$9:$U$425, C34, Tracker!$I$9:$I$425)</f>
        <v>20085.692911913222</v>
      </c>
      <c r="E34" s="72" t="s">
        <v>75</v>
      </c>
      <c r="F34" s="85">
        <f>SUMIF(Tracker!$U$9:$U$425, E34, Tracker!$H$9:$H$425)+SUMIF(Tracker!$U$9:$U$425, E34, Tracker!$I$9:$I$425)</f>
        <v>12171.713110155226</v>
      </c>
    </row>
    <row r="35" spans="1:6" ht="25" customHeight="1" x14ac:dyDescent="0.35">
      <c r="A35" s="68" t="s">
        <v>28</v>
      </c>
      <c r="B35" s="80">
        <f>SUMIF(Tracker!$U$9:$U$425, A35, Tracker!$H$9:$H$425)+SUMIF(Tracker!$U$9:$U$425, A35, Tracker!$I$9:$I$425)</f>
        <v>14638.189639049935</v>
      </c>
      <c r="C35" s="70" t="s">
        <v>51</v>
      </c>
      <c r="D35" s="82">
        <f>SUMIF(Tracker!$U$9:$U$425, C35, Tracker!$H$9:$H$425)+SUMIF(Tracker!$U$9:$U$425, C35, Tracker!$I$9:$I$425)</f>
        <v>22007.934355713485</v>
      </c>
      <c r="E35" s="72" t="s">
        <v>77</v>
      </c>
      <c r="F35" s="85">
        <f>SUMIF(Tracker!$U$9:$U$425, E35, Tracker!$H$9:$H$425)+SUMIF(Tracker!$U$9:$U$425, E35, Tracker!$I$9:$I$425)</f>
        <v>27529.105105666731</v>
      </c>
    </row>
    <row r="36" spans="1:6" ht="25" customHeight="1" x14ac:dyDescent="0.35">
      <c r="A36" s="68" t="s">
        <v>29</v>
      </c>
      <c r="B36" s="80">
        <f>SUMIF(Tracker!$U$9:$U$425, A36, Tracker!$H$9:$H$425)+SUMIF(Tracker!$U$9:$U$425, A36, Tracker!$I$9:$I$425)</f>
        <v>33502.898821769217</v>
      </c>
      <c r="C36" s="70" t="s">
        <v>53</v>
      </c>
      <c r="D36" s="82">
        <f>SUMIF(Tracker!$U$9:$U$425, C36, Tracker!$H$9:$H$425)+SUMIF(Tracker!$U$9:$U$425, C36, Tracker!$I$9:$I$425)</f>
        <v>43830.14774639986</v>
      </c>
      <c r="E36" s="72" t="s">
        <v>78</v>
      </c>
      <c r="F36" s="85">
        <f>SUMIF(Tracker!$U$9:$U$425, E36, Tracker!$H$9:$H$425)+SUMIF(Tracker!$U$9:$U$425, E36, Tracker!$I$9:$I$425)</f>
        <v>27529.105105666731</v>
      </c>
    </row>
    <row r="37" spans="1:6" ht="25" customHeight="1" x14ac:dyDescent="0.35">
      <c r="A37" s="68" t="s">
        <v>30</v>
      </c>
      <c r="B37" s="80">
        <f>SUMIF(Tracker!$U$9:$U$425, A37, Tracker!$H$9:$H$425)+SUMIF(Tracker!$U$9:$U$425, A37, Tracker!$I$9:$I$425)</f>
        <v>24088.386010847204</v>
      </c>
      <c r="C37" s="70" t="s">
        <v>91</v>
      </c>
      <c r="D37" s="82">
        <f>SUMIF(Tracker!$U$9:$U$425, C37, Tracker!$H$9:$H$425)+SUMIF(Tracker!$U$9:$U$425, C37, Tracker!$I$9:$I$425)</f>
        <v>8400.1963717972703</v>
      </c>
      <c r="E37" s="72" t="s">
        <v>79</v>
      </c>
      <c r="F37" s="85">
        <f>SUMIF(Tracker!$U$9:$U$425, E37, Tracker!$H$9:$H$425)+SUMIF(Tracker!$U$9:$U$425, E37, Tracker!$I$9:$I$425)</f>
        <v>21543.631943145687</v>
      </c>
    </row>
    <row r="38" spans="1:6" ht="25" customHeight="1" x14ac:dyDescent="0.35">
      <c r="A38" s="68" t="s">
        <v>31</v>
      </c>
      <c r="B38" s="80">
        <f>SUMIF(Tracker!$U$9:$U$425, A38, Tracker!$H$9:$H$425)+SUMIF(Tracker!$U$9:$U$425, A38, Tracker!$I$9:$I$425)</f>
        <v>24399.873760987466</v>
      </c>
      <c r="C38" s="70" t="s">
        <v>97</v>
      </c>
      <c r="D38" s="82">
        <f>SUMIF(Tracker!$U$9:$U$425, C38, Tracker!$H$9:$H$425)+SUMIF(Tracker!$U$9:$U$425, C38, Tracker!$I$9:$I$425)</f>
        <v>7971.6149242565925</v>
      </c>
      <c r="E38" s="72" t="s">
        <v>80</v>
      </c>
      <c r="F38" s="85">
        <f>SUMIF(Tracker!$U$9:$U$425, E38, Tracker!$H$9:$H$425)+SUMIF(Tracker!$U$9:$U$425, E38, Tracker!$I$9:$I$425)</f>
        <v>13186.18851692538</v>
      </c>
    </row>
    <row r="39" spans="1:6" ht="25" customHeight="1" x14ac:dyDescent="0.35">
      <c r="A39" s="68" t="s">
        <v>33</v>
      </c>
      <c r="B39" s="80">
        <f>SUMIF(Tracker!$U$9:$U$425, A39, Tracker!$H$9:$H$425)+SUMIF(Tracker!$U$9:$U$425, A39, Tracker!$I$9:$I$425)</f>
        <v>22743.388816158593</v>
      </c>
      <c r="C39" s="70"/>
      <c r="D39" s="82"/>
      <c r="E39" s="72" t="s">
        <v>81</v>
      </c>
      <c r="F39" s="85">
        <f>SUMIF(Tracker!$U$9:$U$425, E39, Tracker!$H$9:$H$425)+SUMIF(Tracker!$U$9:$U$425, E39, Tracker!$I$9:$I$425)</f>
        <v>19900</v>
      </c>
    </row>
    <row r="40" spans="1:6" ht="25" customHeight="1" x14ac:dyDescent="0.35">
      <c r="A40" s="68" t="s">
        <v>35</v>
      </c>
      <c r="B40" s="80">
        <f>SUMIF(Tracker!$U$9:$U$425, A40, Tracker!$H$9:$H$425)+SUMIF(Tracker!$U$9:$U$425, A40, Tracker!$I$9:$I$425)</f>
        <v>43658.163456143637</v>
      </c>
      <c r="C40" s="70"/>
      <c r="D40" s="82"/>
      <c r="E40" s="72" t="s">
        <v>82</v>
      </c>
      <c r="F40" s="85">
        <f>SUMIF(Tracker!$U$9:$U$425, E40, Tracker!$H$9:$H$425)+SUMIF(Tracker!$U$9:$U$425, E40, Tracker!$I$9:$I$425)</f>
        <v>28900</v>
      </c>
    </row>
    <row r="41" spans="1:6" ht="25" customHeight="1" x14ac:dyDescent="0.35">
      <c r="A41" s="68" t="s">
        <v>36</v>
      </c>
      <c r="B41" s="80">
        <f>SUMIF(Tracker!$U$9:$U$425, A41, Tracker!$H$9:$H$425)+SUMIF(Tracker!$U$9:$U$425, A41, Tracker!$I$9:$I$425)</f>
        <v>23314.830746212829</v>
      </c>
      <c r="C41" s="70"/>
      <c r="D41" s="82"/>
      <c r="E41" s="72" t="s">
        <v>83</v>
      </c>
      <c r="F41" s="85">
        <f>SUMIF(Tracker!$U$9:$U$425, E41, Tracker!$H$9:$H$425)+SUMIF(Tracker!$U$9:$U$425, E41, Tracker!$I$9:$I$425)</f>
        <v>23200</v>
      </c>
    </row>
    <row r="42" spans="1:6" ht="25" customHeight="1" x14ac:dyDescent="0.35">
      <c r="A42" s="68" t="s">
        <v>37</v>
      </c>
      <c r="B42" s="80">
        <f>SUMIF(Tracker!$U$9:$U$425, A42, Tracker!$H$9:$H$425)+SUMIF(Tracker!$U$9:$U$425, A42, Tracker!$I$9:$I$425)</f>
        <v>13260</v>
      </c>
      <c r="C42" s="70"/>
      <c r="D42" s="82"/>
      <c r="E42" s="72" t="s">
        <v>84</v>
      </c>
      <c r="F42" s="85">
        <f>SUMIF(Tracker!$U$9:$U$425, E42, Tracker!$H$9:$H$425)+SUMIF(Tracker!$U$9:$U$425, E42, Tracker!$I$9:$I$425)</f>
        <v>27248.803067140452</v>
      </c>
    </row>
    <row r="43" spans="1:6" ht="25" customHeight="1" x14ac:dyDescent="0.35">
      <c r="A43" s="68" t="s">
        <v>39</v>
      </c>
      <c r="B43" s="80">
        <f>SUMIF(Tracker!$U$9:$U$425, A43, Tracker!$H$9:$H$425)+SUMIF(Tracker!$U$9:$U$425, A43, Tracker!$I$9:$I$425)</f>
        <v>8060</v>
      </c>
      <c r="C43" s="70"/>
      <c r="D43" s="82"/>
      <c r="E43" s="72" t="s">
        <v>85</v>
      </c>
      <c r="F43" s="85">
        <f>SUMIF(Tracker!$U$9:$U$425, E43, Tracker!$H$9:$H$425)+SUMIF(Tracker!$U$9:$U$425, E43, Tracker!$I$9:$I$425)</f>
        <v>13388.68524406209</v>
      </c>
    </row>
    <row r="44" spans="1:6" ht="25" customHeight="1" x14ac:dyDescent="0.35">
      <c r="A44" s="68" t="s">
        <v>68</v>
      </c>
      <c r="B44" s="80">
        <f>SUMIF(Tracker!$U$9:$U$425, A44, Tracker!$H$9:$H$425)+SUMIF(Tracker!$U$9:$U$425, A44, Tracker!$I$9:$I$425)</f>
        <v>37000</v>
      </c>
      <c r="C44" s="70"/>
      <c r="D44" s="82"/>
      <c r="E44" s="72" t="s">
        <v>99</v>
      </c>
      <c r="F44" s="85">
        <f>SUMIF(Tracker!$U$9:$U$425, E44, Tracker!$H$9:$H$425)+SUMIF(Tracker!$U$9:$U$425, E44, Tracker!$I$9:$I$425)</f>
        <v>0</v>
      </c>
    </row>
    <row r="45" spans="1:6" ht="25" customHeight="1" x14ac:dyDescent="0.35">
      <c r="A45" s="68" t="s">
        <v>70</v>
      </c>
      <c r="B45" s="80">
        <f>SUMIF(Tracker!$U$9:$U$425, A45, Tracker!$H$9:$H$425)+SUMIF(Tracker!$U$9:$U$425, A45, Tracker!$I$9:$I$425)</f>
        <v>27700</v>
      </c>
      <c r="C45" s="70"/>
      <c r="D45" s="82"/>
      <c r="E45" s="72" t="s">
        <v>92</v>
      </c>
      <c r="F45" s="85">
        <f>SUMIF(Tracker!$U$9:$U$425, E45, Tracker!$H$9:$H$425)+SUMIF(Tracker!$U$9:$U$425, E45, Tracker!$I$9:$I$425)</f>
        <v>0</v>
      </c>
    </row>
    <row r="46" spans="1:6" ht="25" customHeight="1" x14ac:dyDescent="0.35">
      <c r="A46" s="68" t="s">
        <v>86</v>
      </c>
      <c r="B46" s="80">
        <f>SUMIF(Tracker!$U$9:$U$425, A46, Tracker!$H$9:$H$425)+SUMIF(Tracker!$U$9:$U$425, A46, Tracker!$I$9:$I$425)</f>
        <v>23050.612492986722</v>
      </c>
      <c r="C46" s="70"/>
      <c r="D46" s="82"/>
      <c r="E46" s="72"/>
      <c r="F46" s="85"/>
    </row>
    <row r="47" spans="1:6" ht="25" customHeight="1" x14ac:dyDescent="0.35">
      <c r="A47" s="68" t="s">
        <v>40</v>
      </c>
      <c r="B47" s="80">
        <f>SUMIF(Tracker!$U$9:$U$425, A47, Tracker!$H$9:$H$425)+SUMIF(Tracker!$U$9:$U$425, A47, Tracker!$I$9:$I$425)</f>
        <v>14418.893772208716</v>
      </c>
      <c r="C47" s="70"/>
      <c r="D47" s="82"/>
      <c r="E47" s="72"/>
      <c r="F47" s="85"/>
    </row>
    <row r="48" spans="1:6" ht="25" customHeight="1" x14ac:dyDescent="0.35">
      <c r="A48" s="68" t="s">
        <v>57</v>
      </c>
      <c r="B48" s="80">
        <f>SUMIF(Tracker!$U$9:$U$425, A48, Tracker!$H$9:$H$425)+SUMIF(Tracker!$U$9:$U$425, A48, Tracker!$I$9:$I$425)</f>
        <v>0</v>
      </c>
      <c r="C48" s="70"/>
      <c r="D48" s="82"/>
      <c r="E48" s="72"/>
      <c r="F48" s="85"/>
    </row>
    <row r="49" spans="1:6" ht="25" customHeight="1" x14ac:dyDescent="0.35">
      <c r="A49" s="68" t="s">
        <v>61</v>
      </c>
      <c r="B49" s="80">
        <f>SUMIF(Tracker!$U$9:$U$425, A49, Tracker!$H$9:$H$425)+SUMIF(Tracker!$U$9:$U$425, A49, Tracker!$I$9:$I$425)</f>
        <v>17289.882176921637</v>
      </c>
      <c r="C49" s="70"/>
      <c r="D49" s="82"/>
      <c r="E49" s="72"/>
      <c r="F49" s="85"/>
    </row>
    <row r="50" spans="1:6" ht="25" customHeight="1" x14ac:dyDescent="0.35">
      <c r="A50" s="69" t="s">
        <v>65</v>
      </c>
      <c r="B50" s="80">
        <f>SUMIF(Tracker!$U$9:$U$425, A50, Tracker!$H$9:$H$425)+SUMIF(Tracker!$U$9:$U$425, A50, Tracker!$I$9:$I$425)</f>
        <v>17289.882176921637</v>
      </c>
      <c r="C50" s="71"/>
      <c r="D50" s="83"/>
      <c r="E50" s="73"/>
      <c r="F50" s="86"/>
    </row>
    <row r="51" spans="1:6" ht="25" customHeight="1" x14ac:dyDescent="0.35">
      <c r="A51" s="90" t="s">
        <v>96</v>
      </c>
      <c r="B51" s="91">
        <f>SUMIF(Tracker!$U$9:$U$425, A51, Tracker!$H$9:$H$425)+SUMIF(Tracker!$U$9:$U$425, A51, Tracker!$I$9:$I$425)</f>
        <v>10628.819899008789</v>
      </c>
    </row>
    <row r="52" spans="1:6" ht="25" customHeight="1" x14ac:dyDescent="0.35">
      <c r="A52" s="90" t="s">
        <v>42</v>
      </c>
      <c r="B52" s="92">
        <f>SUMIF(Tracker!$U$9:$U$425, A52, Tracker!$H$9:$H$425)+SUMIF(Tracker!$U$9:$U$425, A52, Tracker!$I$9:$I$425)</f>
        <v>24000</v>
      </c>
    </row>
    <row r="53" spans="1:6" ht="25" customHeight="1" x14ac:dyDescent="0.35">
      <c r="A53" s="90" t="s">
        <v>43</v>
      </c>
      <c r="B53" s="92">
        <f>SUMIF(Tracker!$U$9:$U$425, A53, Tracker!$H$9:$H$425)+SUMIF(Tracker!$U$9:$U$425, A53, Tracker!$I$9:$I$425)</f>
        <v>9781.4381896390496</v>
      </c>
    </row>
    <row r="54" spans="1:6" ht="25" customHeight="1" x14ac:dyDescent="0.35">
      <c r="A54" s="90" t="s">
        <v>93</v>
      </c>
      <c r="B54" s="92">
        <f>SUMIF(Tracker!$U$9:$U$425, A54, Tracker!$H$9:$H$425)+SUMIF(Tracker!$U$9:$U$425, A54, Tracker!$I$9:$I$425)</f>
        <v>59087.095567608005</v>
      </c>
    </row>
    <row r="55" spans="1:6" ht="25" customHeight="1" x14ac:dyDescent="0.35">
      <c r="A55" s="90" t="s">
        <v>261</v>
      </c>
      <c r="B55" s="92">
        <f>SUMIF(Tracker!$U$9:$U$425, A55, Tracker!$H$9:$H$425)+SUMIF(Tracker!$U$9:$U$425, A55, Tracker!$I$9:$I$425)</f>
        <v>642.88386010847205</v>
      </c>
    </row>
    <row r="56" spans="1:6" ht="25" customHeight="1" x14ac:dyDescent="0.35">
      <c r="A56" s="90" t="s">
        <v>98</v>
      </c>
      <c r="B56" s="92">
        <f>SUMIF(Tracker!$U$9:$U$425, A56, Tracker!$H$9:$H$425)+SUMIF(Tracker!$U$9:$U$425, A56, Tracker!$I$9:$I$425)</f>
        <v>7971.6149242565925</v>
      </c>
    </row>
    <row r="57" spans="1:6" ht="25" customHeight="1" x14ac:dyDescent="0.35">
      <c r="A57" s="90" t="s">
        <v>90</v>
      </c>
      <c r="B57" s="92">
        <f>SUMIF(Tracker!$U$9:$U$425, A57, Tracker!$H$9:$H$425)+SUMIF(Tracker!$U$9:$U$425, A57, Tracker!$I$9:$I$425)</f>
        <v>12171.713110155226</v>
      </c>
    </row>
    <row r="58" spans="1:6" ht="25" customHeight="1" x14ac:dyDescent="0.35">
      <c r="A58" s="90" t="s">
        <v>89</v>
      </c>
      <c r="B58" s="92">
        <f>SUMIF(Tracker!$U$9:$U$425, A58, Tracker!$H$9:$H$425)+SUMIF(Tracker!$U$9:$U$425, A58, Tracker!$I$9:$I$425)</f>
        <v>12171.713110155226</v>
      </c>
    </row>
    <row r="59" spans="1:6" ht="25" customHeight="1" x14ac:dyDescent="0.35">
      <c r="A59" s="90" t="s">
        <v>46</v>
      </c>
      <c r="B59" s="92">
        <f>SUMIF(Tracker!$U$9:$U$425, A59, Tracker!$H$9:$H$425)+SUMIF(Tracker!$U$9:$U$425, A59, Tracker!$I$9:$I$425)</f>
        <v>30533.196184776505</v>
      </c>
    </row>
    <row r="60" spans="1:6" ht="25" customHeight="1" x14ac:dyDescent="0.35">
      <c r="A60" s="90" t="s">
        <v>47</v>
      </c>
      <c r="B60" s="92">
        <f>SUMIF(Tracker!$U$9:$U$425, A60, Tracker!$H$9:$H$425)+SUMIF(Tracker!$U$9:$U$425, A60, Tracker!$I$9:$I$425)</f>
        <v>20085.692911913222</v>
      </c>
    </row>
    <row r="61" spans="1:6" ht="25" customHeight="1" x14ac:dyDescent="0.35">
      <c r="A61" s="90" t="s">
        <v>48</v>
      </c>
      <c r="B61" s="92">
        <f>SUMIF(Tracker!$U$9:$U$425, A61, Tracker!$H$9:$H$425)+SUMIF(Tracker!$U$9:$U$425, A61, Tracker!$I$9:$I$425)</f>
        <v>20085.692911913222</v>
      </c>
    </row>
    <row r="62" spans="1:6" ht="25" customHeight="1" x14ac:dyDescent="0.35">
      <c r="A62" s="90" t="s">
        <v>50</v>
      </c>
      <c r="B62" s="92">
        <f>SUMIF(Tracker!$U$9:$U$425, A62, Tracker!$H$9:$H$425)+SUMIF(Tracker!$U$9:$U$425, A62, Tracker!$I$9:$I$425)</f>
        <v>20085.692911913222</v>
      </c>
    </row>
    <row r="63" spans="1:6" ht="25" customHeight="1" x14ac:dyDescent="0.35">
      <c r="A63" s="90" t="s">
        <v>51</v>
      </c>
      <c r="B63" s="92">
        <f>SUMIF(Tracker!$U$9:$U$425, A63, Tracker!$H$9:$H$425)+SUMIF(Tracker!$U$9:$U$425, A63, Tracker!$I$9:$I$425)</f>
        <v>22007.934355713485</v>
      </c>
    </row>
    <row r="64" spans="1:6" ht="25" customHeight="1" x14ac:dyDescent="0.35">
      <c r="A64" s="90" t="s">
        <v>53</v>
      </c>
      <c r="B64" s="92">
        <f>SUMIF(Tracker!$U$9:$U$425, A64, Tracker!$H$9:$H$425)+SUMIF(Tracker!$U$9:$U$425, A64, Tracker!$I$9:$I$425)</f>
        <v>43830.14774639986</v>
      </c>
    </row>
    <row r="65" spans="1:2" ht="25" customHeight="1" x14ac:dyDescent="0.35">
      <c r="A65" s="90" t="s">
        <v>91</v>
      </c>
      <c r="B65" s="92">
        <f>SUMIF(Tracker!$U$9:$U$425, A65, Tracker!$H$9:$H$425)+SUMIF(Tracker!$U$9:$U$425, A65, Tracker!$I$9:$I$425)</f>
        <v>8400.1963717972703</v>
      </c>
    </row>
    <row r="66" spans="1:2" ht="25" customHeight="1" x14ac:dyDescent="0.35">
      <c r="A66" s="90" t="s">
        <v>97</v>
      </c>
      <c r="B66" s="92">
        <f>SUMIF(Tracker!$U$9:$U$425, A66, Tracker!$H$9:$H$425)+SUMIF(Tracker!$U$9:$U$425, A66, Tracker!$I$9:$I$425)</f>
        <v>7971.6149242565925</v>
      </c>
    </row>
    <row r="67" spans="1:2" ht="25" customHeight="1" x14ac:dyDescent="0.35">
      <c r="A67" s="90" t="s">
        <v>44</v>
      </c>
      <c r="B67" s="92">
        <f>SUMIF(Tracker!$U$9:$U$425, A67, Tracker!$H$9:$H$425)+SUMIF(Tracker!$U$9:$U$425, A67, Tracker!$I$9:$I$425)</f>
        <v>0</v>
      </c>
    </row>
    <row r="68" spans="1:2" ht="25" customHeight="1" x14ac:dyDescent="0.35">
      <c r="A68" s="90" t="s">
        <v>56</v>
      </c>
      <c r="B68" s="92">
        <f>SUMIF(Tracker!$U$9:$U$425, A68, Tracker!$H$9:$H$425)+SUMIF(Tracker!$U$9:$U$425, A68, Tracker!$I$9:$I$425)</f>
        <v>17289.882176921637</v>
      </c>
    </row>
    <row r="69" spans="1:2" ht="25" customHeight="1" x14ac:dyDescent="0.35">
      <c r="A69" s="90" t="s">
        <v>54</v>
      </c>
      <c r="B69" s="92">
        <f>SUMIF(Tracker!$U$9:$U$425, A69, Tracker!$H$9:$H$425)+SUMIF(Tracker!$U$9:$U$425, A69, Tracker!$I$9:$I$425)</f>
        <v>10447.503272863287</v>
      </c>
    </row>
    <row r="70" spans="1:2" ht="25" customHeight="1" x14ac:dyDescent="0.35">
      <c r="A70" s="90" t="s">
        <v>58</v>
      </c>
      <c r="B70" s="92">
        <f>SUMIF(Tracker!$U$9:$U$425, A70, Tracker!$H$9:$H$425)+SUMIF(Tracker!$U$9:$U$425, A70, Tracker!$I$9:$I$425)</f>
        <v>18479.236020198245</v>
      </c>
    </row>
    <row r="71" spans="1:2" ht="25" customHeight="1" x14ac:dyDescent="0.35">
      <c r="A71" s="90" t="s">
        <v>60</v>
      </c>
      <c r="B71" s="92">
        <f>SUMIF(Tracker!$U$9:$U$425, A71, Tracker!$H$9:$H$425)+SUMIF(Tracker!$U$9:$U$425, A71, Tracker!$I$9:$I$425)</f>
        <v>13186.18851692538</v>
      </c>
    </row>
    <row r="72" spans="1:2" ht="25" customHeight="1" x14ac:dyDescent="0.35">
      <c r="A72" s="90" t="s">
        <v>63</v>
      </c>
      <c r="B72" s="92">
        <f>SUMIF(Tracker!$U$9:$U$425, A72, Tracker!$H$9:$H$425)+SUMIF(Tracker!$U$9:$U$425, A72, Tracker!$I$9:$I$425)</f>
        <v>17289.882176921637</v>
      </c>
    </row>
    <row r="73" spans="1:2" ht="25" customHeight="1" x14ac:dyDescent="0.35">
      <c r="A73" s="90" t="s">
        <v>66</v>
      </c>
      <c r="B73" s="92">
        <f>SUMIF(Tracker!$U$9:$U$425, A73, Tracker!$H$9:$H$425)+SUMIF(Tracker!$U$9:$U$425, A73, Tracker!$I$9:$I$425)</f>
        <v>0</v>
      </c>
    </row>
    <row r="74" spans="1:2" ht="25" customHeight="1" x14ac:dyDescent="0.35">
      <c r="A74" s="90" t="s">
        <v>67</v>
      </c>
      <c r="B74" s="92">
        <f>SUMIF(Tracker!$U$9:$U$425, A74, Tracker!$H$9:$H$425)+SUMIF(Tracker!$U$9:$U$425, A74, Tracker!$I$9:$I$425)</f>
        <v>0</v>
      </c>
    </row>
    <row r="75" spans="1:2" ht="25" customHeight="1" x14ac:dyDescent="0.35">
      <c r="A75" s="90" t="s">
        <v>71</v>
      </c>
      <c r="B75" s="92">
        <f>SUMIF(Tracker!$U$9:$U$425, A75, Tracker!$H$9:$H$425)+SUMIF(Tracker!$U$9:$U$425, A75, Tracker!$I$9:$I$425)</f>
        <v>33943.650645221613</v>
      </c>
    </row>
    <row r="76" spans="1:2" ht="25" customHeight="1" x14ac:dyDescent="0.35">
      <c r="A76" s="90" t="s">
        <v>73</v>
      </c>
      <c r="B76" s="92">
        <f>SUMIF(Tracker!$U$9:$U$425, A76, Tracker!$H$9:$H$425)+SUMIF(Tracker!$U$9:$U$425, A76, Tracker!$I$9:$I$425)</f>
        <v>34900</v>
      </c>
    </row>
    <row r="77" spans="1:2" ht="25" customHeight="1" x14ac:dyDescent="0.35">
      <c r="A77" s="90" t="s">
        <v>74</v>
      </c>
      <c r="B77" s="92">
        <f>SUMIF(Tracker!$U$9:$U$425, A77, Tracker!$H$9:$H$425)+SUMIF(Tracker!$U$9:$U$425, A77, Tracker!$I$9:$I$425)</f>
        <v>0</v>
      </c>
    </row>
    <row r="78" spans="1:2" ht="25" customHeight="1" x14ac:dyDescent="0.35">
      <c r="A78" s="90" t="s">
        <v>75</v>
      </c>
      <c r="B78" s="92">
        <f>SUMIF(Tracker!$U$9:$U$425, A78, Tracker!$H$9:$H$425)+SUMIF(Tracker!$U$9:$U$425, A78, Tracker!$I$9:$I$425)</f>
        <v>12171.713110155226</v>
      </c>
    </row>
    <row r="79" spans="1:2" ht="25" customHeight="1" x14ac:dyDescent="0.35">
      <c r="A79" s="90" t="s">
        <v>77</v>
      </c>
      <c r="B79" s="92">
        <f>SUMIF(Tracker!$U$9:$U$425, A79, Tracker!$H$9:$H$425)+SUMIF(Tracker!$U$9:$U$425, A79, Tracker!$I$9:$I$425)</f>
        <v>27529.105105666731</v>
      </c>
    </row>
    <row r="80" spans="1:2" ht="25" customHeight="1" x14ac:dyDescent="0.35">
      <c r="A80" s="90" t="s">
        <v>78</v>
      </c>
      <c r="B80" s="92">
        <f>SUMIF(Tracker!$U$9:$U$425, A80, Tracker!$H$9:$H$425)+SUMIF(Tracker!$U$9:$U$425, A80, Tracker!$I$9:$I$425)</f>
        <v>27529.105105666731</v>
      </c>
    </row>
    <row r="81" spans="1:9" ht="25" customHeight="1" x14ac:dyDescent="0.35">
      <c r="A81" s="90" t="s">
        <v>79</v>
      </c>
      <c r="B81" s="92">
        <f>SUMIF(Tracker!$U$9:$U$425, A81, Tracker!$H$9:$H$425)+SUMIF(Tracker!$U$9:$U$425, A81, Tracker!$I$9:$I$425)</f>
        <v>21543.631943145687</v>
      </c>
    </row>
    <row r="82" spans="1:9" ht="25" customHeight="1" x14ac:dyDescent="0.35">
      <c r="A82" s="90" t="s">
        <v>80</v>
      </c>
      <c r="B82" s="92">
        <f>SUMIF(Tracker!$U$9:$U$425, A82, Tracker!$H$9:$H$425)+SUMIF(Tracker!$U$9:$U$425, A82, Tracker!$I$9:$I$425)</f>
        <v>13186.18851692538</v>
      </c>
    </row>
    <row r="83" spans="1:9" ht="25" customHeight="1" x14ac:dyDescent="0.35">
      <c r="A83" s="90" t="s">
        <v>81</v>
      </c>
      <c r="B83" s="92">
        <f>SUMIF(Tracker!$U$9:$U$425, A83, Tracker!$H$9:$H$425)+SUMIF(Tracker!$U$9:$U$425, A83, Tracker!$I$9:$I$425)</f>
        <v>19900</v>
      </c>
    </row>
    <row r="84" spans="1:9" ht="25" customHeight="1" x14ac:dyDescent="0.35">
      <c r="A84" s="90" t="s">
        <v>82</v>
      </c>
      <c r="B84" s="92">
        <f>SUMIF(Tracker!$U$9:$U$425, A84, Tracker!$H$9:$H$425)+SUMIF(Tracker!$U$9:$U$425, A84, Tracker!$I$9:$I$425)</f>
        <v>28900</v>
      </c>
    </row>
    <row r="85" spans="1:9" ht="25" customHeight="1" x14ac:dyDescent="0.35">
      <c r="A85" s="90" t="s">
        <v>83</v>
      </c>
      <c r="B85" s="92">
        <f>SUMIF(Tracker!$U$9:$U$425, A85, Tracker!$H$9:$H$425)+SUMIF(Tracker!$U$9:$U$425, A85, Tracker!$I$9:$I$425)</f>
        <v>23200</v>
      </c>
    </row>
    <row r="86" spans="1:9" ht="25" customHeight="1" x14ac:dyDescent="0.35">
      <c r="A86" s="90" t="s">
        <v>84</v>
      </c>
      <c r="B86" s="92">
        <f>SUMIF(Tracker!$U$9:$U$425, A86, Tracker!$H$9:$H$425)+SUMIF(Tracker!$U$9:$U$425, A86, Tracker!$I$9:$I$425)</f>
        <v>27248.803067140452</v>
      </c>
    </row>
    <row r="87" spans="1:9" ht="25" customHeight="1" x14ac:dyDescent="0.35">
      <c r="A87" s="90" t="s">
        <v>85</v>
      </c>
      <c r="B87" s="92">
        <f>SUMIF(Tracker!$U$9:$U$425, A87, Tracker!$H$9:$H$425)+SUMIF(Tracker!$U$9:$U$425, A87, Tracker!$I$9:$I$425)</f>
        <v>13388.68524406209</v>
      </c>
    </row>
    <row r="88" spans="1:9" ht="25" customHeight="1" x14ac:dyDescent="0.35">
      <c r="A88" s="90" t="s">
        <v>99</v>
      </c>
      <c r="B88" s="92">
        <f>SUMIF(Tracker!$U$9:$U$425, A88, Tracker!$H$9:$H$425)+SUMIF(Tracker!$U$9:$U$425, A88, Tracker!$I$9:$I$425)</f>
        <v>0</v>
      </c>
    </row>
    <row r="89" spans="1:9" ht="25" customHeight="1" x14ac:dyDescent="0.35">
      <c r="A89" s="90" t="s">
        <v>92</v>
      </c>
      <c r="B89" s="92">
        <f>SUMIF(Tracker!$U$9:$U$425, A89, Tracker!$H$9:$H$425)+SUMIF(Tracker!$U$9:$U$425, A89, Tracker!$I$9:$I$425)</f>
        <v>0</v>
      </c>
    </row>
    <row r="90" spans="1:9" ht="25" customHeight="1" x14ac:dyDescent="0.35">
      <c r="A90" s="90" t="s">
        <v>292</v>
      </c>
      <c r="B90" s="92">
        <f>SUMIF(Tracker!$U$9:$U$425, A90, Tracker!$H$9:$H$425)+SUMIF(Tracker!$U$9:$U$425, A90, Tracker!$I$9:$I$425)</f>
        <v>0</v>
      </c>
    </row>
    <row r="91" spans="1:9" ht="25" customHeight="1" x14ac:dyDescent="0.35">
      <c r="A91" s="90" t="s">
        <v>291</v>
      </c>
      <c r="B91" s="92">
        <f>SUMIF(Tracker!$U$9:$U$425, A91, Tracker!$H$9:$H$425)+SUMIF(Tracker!$U$9:$U$425, A91, Tracker!$I$9:$I$425)</f>
        <v>0</v>
      </c>
    </row>
    <row r="93" spans="1:9" ht="25" customHeight="1" x14ac:dyDescent="0.35">
      <c r="A93" s="8" t="s">
        <v>93</v>
      </c>
      <c r="B93" s="93">
        <f>SUMIF(Tracker!$U$9:$U$425, A93, Tracker!$H$9:$H$425)+SUMIF(Tracker!$U$9:$U$425, A93, Tracker!$I$9:$I$425)</f>
        <v>59087.095567608005</v>
      </c>
      <c r="C93" s="8">
        <f>SUMIF(Tracker!$U$9:$U$425, A93, Tracker!$J$9:$J$425)</f>
        <v>228.57677202169441</v>
      </c>
      <c r="E93" s="8" t="s">
        <v>73</v>
      </c>
      <c r="F93" s="93">
        <f>SUMIF(Tracker!$U$9:$U$425, E93, Tracker!$H$9:$H$425)+SUMIF(Tracker!$U$9:$U$425, E93, Tracker!$I$9:$I$425)</f>
        <v>34900</v>
      </c>
      <c r="G93" s="8">
        <f>SUMIF(Tracker!$U$9:$U$425, E93, Tracker!$J$9:$J$425)</f>
        <v>175</v>
      </c>
      <c r="H93" s="49">
        <v>100</v>
      </c>
      <c r="I93" s="8">
        <v>100</v>
      </c>
    </row>
    <row r="94" spans="1:9" ht="25" customHeight="1" x14ac:dyDescent="0.35">
      <c r="A94" s="8" t="s">
        <v>35</v>
      </c>
      <c r="B94" s="93">
        <f>SUMIF(Tracker!$U$9:$U$425, A94, Tracker!$H$9:$H$425)+SUMIF(Tracker!$U$9:$U$425, A94, Tracker!$I$9:$I$425)</f>
        <v>43658.163456143637</v>
      </c>
      <c r="C94" s="8">
        <f>SUMIF(Tracker!$U$9:$U$425, A94, Tracker!$J$9:$J$425)</f>
        <v>182.86141761735553</v>
      </c>
      <c r="E94" s="8" t="s">
        <v>93</v>
      </c>
      <c r="F94" s="93">
        <f>SUMIF(Tracker!$U$9:$U$425, E94, Tracker!$H$9:$H$425)+SUMIF(Tracker!$U$9:$U$425, E94, Tracker!$I$9:$I$425)</f>
        <v>59087.095567608005</v>
      </c>
      <c r="G94" s="8">
        <f>SUMIF(Tracker!$U$9:$U$425, E94, Tracker!$J$9:$J$425)</f>
        <v>228.57677202169441</v>
      </c>
      <c r="H94" s="49">
        <f t="shared" ref="H94:H125" si="3">80*((F94/52000)+(G94/210))/2</f>
        <v>88.990044741120116</v>
      </c>
      <c r="I94" s="49">
        <f>H94</f>
        <v>88.990044741120116</v>
      </c>
    </row>
    <row r="95" spans="1:9" ht="25" customHeight="1" x14ac:dyDescent="0.35">
      <c r="A95" s="8" t="s">
        <v>16</v>
      </c>
      <c r="B95" s="93">
        <f>SUMIF(Tracker!$U$9:$U$425, A95, Tracker!$H$9:$H$425)+SUMIF(Tracker!$U$9:$U$425, A95, Tracker!$I$9:$I$425)</f>
        <v>37960</v>
      </c>
      <c r="C95" s="8">
        <f>SUMIF(Tracker!$U$9:$U$425, A95, Tracker!$J$9:$J$425)</f>
        <v>156</v>
      </c>
      <c r="E95" s="8" t="s">
        <v>35</v>
      </c>
      <c r="F95" s="93">
        <f>SUMIF(Tracker!$U$9:$U$425, E95, Tracker!$H$9:$H$425)+SUMIF(Tracker!$U$9:$U$425, E95, Tracker!$I$9:$I$425)</f>
        <v>43658.163456143637</v>
      </c>
      <c r="G95" s="8">
        <f>SUMIF(Tracker!$U$9:$U$425, E95, Tracker!$J$9:$J$425)</f>
        <v>182.86141761735553</v>
      </c>
      <c r="H95" s="49">
        <f t="shared" si="3"/>
        <v>68.413948871401658</v>
      </c>
      <c r="I95" s="8">
        <f>H95*(21600/VLOOKUP(E95, Tracker!$U$9:$W$425, 3, FALSE))</f>
        <v>67.170058891921627</v>
      </c>
    </row>
    <row r="96" spans="1:9" ht="25" customHeight="1" x14ac:dyDescent="0.35">
      <c r="A96" s="8" t="s">
        <v>53</v>
      </c>
      <c r="B96" s="93">
        <f>SUMIF(Tracker!$U$9:$U$425, A96, Tracker!$H$9:$H$425)+SUMIF(Tracker!$U$9:$U$425, A96, Tracker!$I$9:$I$425)</f>
        <v>43830.14774639986</v>
      </c>
      <c r="C96" s="8">
        <f>SUMIF(Tracker!$U$9:$U$425, A96, Tracker!$J$9:$J$425)</f>
        <v>185.72096502711801</v>
      </c>
      <c r="E96" s="8" t="s">
        <v>68</v>
      </c>
      <c r="F96" s="93">
        <f>SUMIF(Tracker!$U$9:$U$425, E96, Tracker!$H$9:$H$425)+SUMIF(Tracker!$U$9:$U$425, E96, Tracker!$I$9:$I$425)</f>
        <v>37000</v>
      </c>
      <c r="G96" s="8">
        <f>SUMIF(Tracker!$U$9:$U$425, E96, Tracker!$J$9:$J$425)</f>
        <v>149</v>
      </c>
      <c r="H96" s="49">
        <f t="shared" si="3"/>
        <v>56.842490842490847</v>
      </c>
      <c r="I96" s="8">
        <f>H96*(21600/VLOOKUP(E96, Tracker!$U$9:$W$425, 3, FALSE))</f>
        <v>61.389890109890118</v>
      </c>
    </row>
    <row r="97" spans="1:9" ht="25" customHeight="1" x14ac:dyDescent="0.35">
      <c r="A97" s="8" t="s">
        <v>68</v>
      </c>
      <c r="B97" s="93">
        <f>SUMIF(Tracker!$U$9:$U$425, A97, Tracker!$H$9:$H$425)+SUMIF(Tracker!$U$9:$U$425, A97, Tracker!$I$9:$I$425)</f>
        <v>37000</v>
      </c>
      <c r="C97" s="8">
        <f>SUMIF(Tracker!$U$9:$U$425, A97, Tracker!$J$9:$J$425)</f>
        <v>149</v>
      </c>
      <c r="E97" s="8" t="s">
        <v>29</v>
      </c>
      <c r="F97" s="93">
        <f>SUMIF(Tracker!$U$9:$U$425, E97, Tracker!$H$9:$H$425)+SUMIF(Tracker!$U$9:$U$425, E97, Tracker!$I$9:$I$425)</f>
        <v>33502.898821769217</v>
      </c>
      <c r="G97" s="8">
        <f>SUMIF(Tracker!$U$9:$U$425, E97, Tracker!$J$9:$J$425)</f>
        <v>153.5979053674958</v>
      </c>
      <c r="H97" s="49">
        <f t="shared" si="3"/>
        <v>55.028204511653172</v>
      </c>
      <c r="I97" s="8">
        <f>H97*(21600/VLOOKUP(E97, Tracker!$U$9:$W$425, 3, FALSE))</f>
        <v>59.430460872585428</v>
      </c>
    </row>
    <row r="98" spans="1:9" ht="25" customHeight="1" x14ac:dyDescent="0.35">
      <c r="A98" s="8" t="s">
        <v>73</v>
      </c>
      <c r="B98" s="93">
        <f>SUMIF(Tracker!$U$9:$U$425, A98, Tracker!$H$9:$H$425)+SUMIF(Tracker!$U$9:$U$425, A98, Tracker!$I$9:$I$425)</f>
        <v>34900</v>
      </c>
      <c r="C98" s="8">
        <f>SUMIF(Tracker!$U$9:$U$425, A98, Tracker!$J$9:$J$425)</f>
        <v>175</v>
      </c>
      <c r="E98" s="8" t="s">
        <v>53</v>
      </c>
      <c r="F98" s="93">
        <f>SUMIF(Tracker!$U$9:$U$425, E98, Tracker!$H$9:$H$425)+SUMIF(Tracker!$U$9:$U$425, E98, Tracker!$I$9:$I$425)</f>
        <v>43830.14774639986</v>
      </c>
      <c r="G98" s="8">
        <f>SUMIF(Tracker!$U$9:$U$425, E98, Tracker!$J$9:$J$425)</f>
        <v>185.72096502711801</v>
      </c>
      <c r="H98" s="49">
        <f t="shared" si="3"/>
        <v>69.090920176388678</v>
      </c>
      <c r="I98" s="8">
        <f>H98*(21600/VLOOKUP(E98, Tracker!$U$9:$W$425, 3, FALSE))</f>
        <v>74.618193790499774</v>
      </c>
    </row>
    <row r="99" spans="1:9" ht="25" customHeight="1" x14ac:dyDescent="0.35">
      <c r="A99" s="8" t="s">
        <v>29</v>
      </c>
      <c r="B99" s="93">
        <f>SUMIF(Tracker!$U$9:$U$425, A99, Tracker!$H$9:$H$425)+SUMIF(Tracker!$U$9:$U$425, A99, Tracker!$I$9:$I$425)</f>
        <v>33502.898821769217</v>
      </c>
      <c r="C99" s="8">
        <f>SUMIF(Tracker!$U$9:$U$425, A99, Tracker!$J$9:$J$425)</f>
        <v>153.5979053674958</v>
      </c>
      <c r="E99" s="8" t="s">
        <v>82</v>
      </c>
      <c r="F99" s="93">
        <f>SUMIF(Tracker!$U$9:$U$425, E99, Tracker!$H$9:$H$425)+SUMIF(Tracker!$U$9:$U$425, E99, Tracker!$I$9:$I$425)</f>
        <v>28900</v>
      </c>
      <c r="G99" s="8">
        <f>SUMIF(Tracker!$U$9:$U$425, E99, Tracker!$J$9:$J$425)</f>
        <v>115</v>
      </c>
      <c r="H99" s="49">
        <f t="shared" si="3"/>
        <v>44.135531135531139</v>
      </c>
      <c r="I99" s="8">
        <f>H99*(21600/VLOOKUP(E99, Tracker!$U$9:$W$425, 3, FALSE))</f>
        <v>47.666373626373634</v>
      </c>
    </row>
    <row r="100" spans="1:9" ht="25" customHeight="1" x14ac:dyDescent="0.35">
      <c r="A100" s="8" t="s">
        <v>46</v>
      </c>
      <c r="B100" s="93">
        <f>SUMIF(Tracker!$U$9:$U$425, A100, Tracker!$H$9:$H$425)+SUMIF(Tracker!$U$9:$U$425, A100, Tracker!$I$9:$I$425)</f>
        <v>30533.196184776505</v>
      </c>
      <c r="C100" s="8">
        <f>SUMIF(Tracker!$U$9:$U$425, A100, Tracker!$J$9:$J$425)</f>
        <v>139.05479708247614</v>
      </c>
      <c r="E100" s="8" t="s">
        <v>46</v>
      </c>
      <c r="F100" s="93">
        <f>SUMIF(Tracker!$U$9:$U$425, E100, Tracker!$H$9:$H$425)+SUMIF(Tracker!$U$9:$U$425, E100, Tracker!$I$9:$I$425)</f>
        <v>30533.196184776505</v>
      </c>
      <c r="G100" s="8">
        <f>SUMIF(Tracker!$U$9:$U$425, E100, Tracker!$J$9:$J$425)</f>
        <v>139.05479708247614</v>
      </c>
      <c r="H100" s="49">
        <f t="shared" si="3"/>
        <v>49.973702003999364</v>
      </c>
      <c r="I100" s="8">
        <f>H100*(21600/VLOOKUP(E100, Tracker!$U$9:$W$425, 3, FALSE))</f>
        <v>59.968442404799234</v>
      </c>
    </row>
    <row r="101" spans="1:9" ht="25" customHeight="1" x14ac:dyDescent="0.35">
      <c r="A101" s="8" t="s">
        <v>82</v>
      </c>
      <c r="B101" s="93">
        <f>SUMIF(Tracker!$U$9:$U$425, A101, Tracker!$H$9:$H$425)+SUMIF(Tracker!$U$9:$U$425, A101, Tracker!$I$9:$I$425)</f>
        <v>28900</v>
      </c>
      <c r="C101" s="8">
        <f>SUMIF(Tracker!$U$9:$U$425, A101, Tracker!$J$9:$J$425)</f>
        <v>115</v>
      </c>
      <c r="E101" s="8" t="s">
        <v>84</v>
      </c>
      <c r="F101" s="93">
        <f>SUMIF(Tracker!$U$9:$U$425, E101, Tracker!$H$9:$H$425)+SUMIF(Tracker!$U$9:$U$425, E101, Tracker!$I$9:$I$425)</f>
        <v>27248.803067140452</v>
      </c>
      <c r="G101" s="8">
        <f>SUMIF(Tracker!$U$9:$U$425, E101, Tracker!$J$9:$J$425)</f>
        <v>108.42949317374227</v>
      </c>
      <c r="H101" s="49">
        <f t="shared" si="3"/>
        <v>41.613854538952722</v>
      </c>
      <c r="I101" s="8">
        <f>H101*(21600/VLOOKUP(E101, Tracker!$U$9:$W$425, 3, FALSE))</f>
        <v>44.942962902068942</v>
      </c>
    </row>
    <row r="102" spans="1:9" ht="25" customHeight="1" x14ac:dyDescent="0.35">
      <c r="A102" s="8" t="s">
        <v>77</v>
      </c>
      <c r="B102" s="93">
        <f>SUMIF(Tracker!$U$9:$U$425, A102, Tracker!$H$9:$H$425)+SUMIF(Tracker!$U$9:$U$425, A102, Tracker!$I$9:$I$425)</f>
        <v>27529.105105666731</v>
      </c>
      <c r="C102" s="8">
        <f>SUMIF(Tracker!$U$9:$U$425, A102, Tracker!$J$9:$J$425)</f>
        <v>127.68818963904994</v>
      </c>
      <c r="E102" s="8" t="s">
        <v>70</v>
      </c>
      <c r="F102" s="93">
        <f>SUMIF(Tracker!$U$9:$U$425, E102, Tracker!$H$9:$H$425)+SUMIF(Tracker!$U$9:$U$425, E102, Tracker!$I$9:$I$425)</f>
        <v>27700</v>
      </c>
      <c r="G102" s="8">
        <f>SUMIF(Tracker!$U$9:$U$425, E102, Tracker!$J$9:$J$425)</f>
        <v>104</v>
      </c>
      <c r="H102" s="49">
        <f t="shared" si="3"/>
        <v>41.117216117216117</v>
      </c>
      <c r="I102" s="8">
        <f>H102*(21600/VLOOKUP(E102, Tracker!$U$9:$W$425, 3, FALSE))</f>
        <v>44.406593406593409</v>
      </c>
    </row>
    <row r="103" spans="1:9" ht="25" customHeight="1" x14ac:dyDescent="0.35">
      <c r="A103" s="8" t="s">
        <v>78</v>
      </c>
      <c r="B103" s="93">
        <f>SUMIF(Tracker!$U$9:$U$425, A103, Tracker!$H$9:$H$425)+SUMIF(Tracker!$U$9:$U$425, A103, Tracker!$I$9:$I$425)</f>
        <v>27529.105105666731</v>
      </c>
      <c r="C103" s="8">
        <f>SUMIF(Tracker!$U$9:$U$425, A103, Tracker!$J$9:$J$425)</f>
        <v>127.68818963904994</v>
      </c>
      <c r="E103" s="8" t="s">
        <v>30</v>
      </c>
      <c r="F103" s="93">
        <f>SUMIF(Tracker!$U$9:$U$425, E103, Tracker!$H$9:$H$425)+SUMIF(Tracker!$U$9:$U$425, E103, Tracker!$I$9:$I$425)</f>
        <v>24088.386010847204</v>
      </c>
      <c r="G103" s="8">
        <f>SUMIF(Tracker!$U$9:$U$425, E103, Tracker!$J$9:$J$425)</f>
        <v>107.98242004862539</v>
      </c>
      <c r="H103" s="49">
        <f t="shared" si="3"/>
        <v>39.097607709913675</v>
      </c>
      <c r="I103" s="8">
        <f>H103*(21600/VLOOKUP(E103, Tracker!$U$9:$W$425, 3, FALSE))</f>
        <v>42.225416326706771</v>
      </c>
    </row>
    <row r="104" spans="1:9" ht="25" customHeight="1" x14ac:dyDescent="0.35">
      <c r="A104" s="8" t="s">
        <v>71</v>
      </c>
      <c r="B104" s="93">
        <f>SUMIF(Tracker!$U$9:$U$425, A104, Tracker!$H$9:$H$425)+SUMIF(Tracker!$U$9:$U$425, A104, Tracker!$I$9:$I$425)</f>
        <v>33943.650645221613</v>
      </c>
      <c r="C104" s="8">
        <f>SUMIF(Tracker!$U$9:$U$425, A104, Tracker!$J$9:$J$425)</f>
        <v>137.14606321301665</v>
      </c>
      <c r="E104" s="8" t="s">
        <v>83</v>
      </c>
      <c r="F104" s="93">
        <f>SUMIF(Tracker!$U$9:$U$425, E104, Tracker!$H$9:$H$425)+SUMIF(Tracker!$U$9:$U$425, E104, Tracker!$I$9:$I$425)</f>
        <v>23200</v>
      </c>
      <c r="G104" s="8">
        <f>SUMIF(Tracker!$U$9:$U$425, E104, Tracker!$J$9:$J$425)</f>
        <v>104</v>
      </c>
      <c r="H104" s="49">
        <f t="shared" si="3"/>
        <v>37.655677655677657</v>
      </c>
      <c r="I104" s="8">
        <f>H104*(21600/VLOOKUP(E104, Tracker!$U$9:$W$425, 3, FALSE))</f>
        <v>40.668131868131873</v>
      </c>
    </row>
    <row r="105" spans="1:9" ht="25" customHeight="1" x14ac:dyDescent="0.35">
      <c r="A105" s="8" t="s">
        <v>70</v>
      </c>
      <c r="B105" s="93">
        <f>SUMIF(Tracker!$U$9:$U$425, A105, Tracker!$H$9:$H$425)+SUMIF(Tracker!$U$9:$U$425, A105, Tracker!$I$9:$I$425)</f>
        <v>27700</v>
      </c>
      <c r="C105" s="8">
        <f>SUMIF(Tracker!$U$9:$U$425, A105, Tracker!$J$9:$J$425)</f>
        <v>104</v>
      </c>
      <c r="E105" s="8" t="s">
        <v>77</v>
      </c>
      <c r="F105" s="93">
        <f>SUMIF(Tracker!$U$9:$U$425, E105, Tracker!$H$9:$H$425)+SUMIF(Tracker!$U$9:$U$425, E105, Tracker!$I$9:$I$425)</f>
        <v>27529.105105666731</v>
      </c>
      <c r="G105" s="8">
        <f>SUMIF(Tracker!$U$9:$U$425, E105, Tracker!$J$9:$J$425)</f>
        <v>127.68818963904994</v>
      </c>
      <c r="H105" s="49">
        <f t="shared" si="3"/>
        <v>45.497794627914331</v>
      </c>
      <c r="I105" s="8">
        <f>H105*(21600/VLOOKUP(E105, Tracker!$U$9:$W$425, 3, FALSE))</f>
        <v>49.137618198147479</v>
      </c>
    </row>
    <row r="106" spans="1:9" ht="25" customHeight="1" x14ac:dyDescent="0.35">
      <c r="A106" s="8" t="s">
        <v>84</v>
      </c>
      <c r="B106" s="93">
        <f>SUMIF(Tracker!$U$9:$U$425, A106, Tracker!$H$9:$H$425)+SUMIF(Tracker!$U$9:$U$425, A106, Tracker!$I$9:$I$425)</f>
        <v>27248.803067140452</v>
      </c>
      <c r="C106" s="8">
        <f>SUMIF(Tracker!$U$9:$U$425, A106, Tracker!$J$9:$J$425)</f>
        <v>108.42949317374227</v>
      </c>
      <c r="E106" s="8" t="s">
        <v>78</v>
      </c>
      <c r="F106" s="93">
        <f>SUMIF(Tracker!$U$9:$U$425, E106, Tracker!$H$9:$H$425)+SUMIF(Tracker!$U$9:$U$425, E106, Tracker!$I$9:$I$425)</f>
        <v>27529.105105666731</v>
      </c>
      <c r="G106" s="8">
        <f>SUMIF(Tracker!$U$9:$U$425, E106, Tracker!$J$9:$J$425)</f>
        <v>127.68818963904994</v>
      </c>
      <c r="H106" s="49">
        <f t="shared" si="3"/>
        <v>45.497794627914331</v>
      </c>
      <c r="I106" s="8">
        <f>H106*(21600/VLOOKUP(E106, Tracker!$U$9:$W$425, 3, FALSE))</f>
        <v>49.137618198147479</v>
      </c>
    </row>
    <row r="107" spans="1:9" ht="25" customHeight="1" x14ac:dyDescent="0.35">
      <c r="A107" s="8" t="s">
        <v>18</v>
      </c>
      <c r="B107" s="93">
        <f>SUMIF(Tracker!$U$9:$U$425, A107, Tracker!$H$9:$H$425)+SUMIF(Tracker!$U$9:$U$425, A107, Tracker!$I$9:$I$425)</f>
        <v>25870</v>
      </c>
      <c r="C107" s="8">
        <f>SUMIF(Tracker!$U$9:$U$425, A107, Tracker!$J$9:$J$425)</f>
        <v>97.5</v>
      </c>
      <c r="E107" s="8" t="s">
        <v>31</v>
      </c>
      <c r="F107" s="93">
        <f>SUMIF(Tracker!$U$9:$U$425, E107, Tracker!$H$9:$H$425)+SUMIF(Tracker!$U$9:$U$425, E107, Tracker!$I$9:$I$425)</f>
        <v>24399.873760987466</v>
      </c>
      <c r="G107" s="8">
        <f>SUMIF(Tracker!$U$9:$U$425, E107, Tracker!$J$9:$J$425)</f>
        <v>113.17388255096316</v>
      </c>
      <c r="H107" s="49">
        <f t="shared" si="3"/>
        <v>40.326063672005318</v>
      </c>
      <c r="I107" s="8">
        <f>H107*(21600/VLOOKUP(E107, Tracker!$U$9:$W$425, 3, FALSE))</f>
        <v>43.55214876576575</v>
      </c>
    </row>
    <row r="108" spans="1:9" ht="25" customHeight="1" x14ac:dyDescent="0.35">
      <c r="A108" s="8" t="s">
        <v>19</v>
      </c>
      <c r="B108" s="93">
        <f>SUMIF(Tracker!$U$9:$U$425, A108, Tracker!$H$9:$H$425)+SUMIF(Tracker!$U$9:$U$425, A108, Tracker!$I$9:$I$425)</f>
        <v>25870</v>
      </c>
      <c r="C108" s="8">
        <f>SUMIF(Tracker!$U$9:$U$425, A108, Tracker!$J$9:$J$425)</f>
        <v>97.5</v>
      </c>
      <c r="E108" s="8" t="s">
        <v>27</v>
      </c>
      <c r="F108" s="93">
        <f>SUMIF(Tracker!$U$9:$U$425, E108, Tracker!$H$9:$H$425)+SUMIF(Tracker!$U$9:$U$425, E108, Tracker!$I$9:$I$425)</f>
        <v>24225.172994202356</v>
      </c>
      <c r="G108" s="8">
        <f>SUMIF(Tracker!$U$9:$U$425, E108, Tracker!$J$9:$J$425)</f>
        <v>112.36356835608753</v>
      </c>
      <c r="H108" s="49">
        <f t="shared" si="3"/>
        <v>40.037332905857312</v>
      </c>
      <c r="I108" s="8">
        <f>H108*(21600/VLOOKUP(E108, Tracker!$U$9:$W$425, 3, FALSE))</f>
        <v>43.240319538325899</v>
      </c>
    </row>
    <row r="109" spans="1:9" ht="25" customHeight="1" x14ac:dyDescent="0.35">
      <c r="A109" s="8" t="s">
        <v>31</v>
      </c>
      <c r="B109" s="93">
        <f>SUMIF(Tracker!$U$9:$U$425, A109, Tracker!$H$9:$H$425)+SUMIF(Tracker!$U$9:$U$425, A109, Tracker!$I$9:$I$425)</f>
        <v>24399.873760987466</v>
      </c>
      <c r="C109" s="8">
        <f>SUMIF(Tracker!$U$9:$U$425, A109, Tracker!$J$9:$J$425)</f>
        <v>113.17388255096316</v>
      </c>
      <c r="E109" s="8" t="s">
        <v>86</v>
      </c>
      <c r="F109" s="93">
        <f>SUMIF(Tracker!$U$9:$U$425, E109, Tracker!$H$9:$H$425)+SUMIF(Tracker!$U$9:$U$425, E109, Tracker!$I$9:$I$425)</f>
        <v>23050.612492986722</v>
      </c>
      <c r="G109" s="8">
        <f>SUMIF(Tracker!$U$9:$U$425, E109, Tracker!$J$9:$J$425)</f>
        <v>106.91560688236393</v>
      </c>
      <c r="H109" s="49">
        <f t="shared" si="3"/>
        <v>38.096117880623204</v>
      </c>
      <c r="I109" s="8">
        <f>H109*(21600/VLOOKUP(E109, Tracker!$U$9:$W$425, 3, FALSE))</f>
        <v>41.143807311073061</v>
      </c>
    </row>
    <row r="110" spans="1:9" ht="25" customHeight="1" x14ac:dyDescent="0.35">
      <c r="A110" s="8" t="s">
        <v>27</v>
      </c>
      <c r="B110" s="93">
        <f>SUMIF(Tracker!$U$9:$U$425, A110, Tracker!$H$9:$H$425)+SUMIF(Tracker!$U$9:$U$425, A110, Tracker!$I$9:$I$425)</f>
        <v>24225.172994202356</v>
      </c>
      <c r="C110" s="8">
        <f>SUMIF(Tracker!$U$9:$U$425, A110, Tracker!$J$9:$J$425)</f>
        <v>112.36356835608753</v>
      </c>
      <c r="E110" s="8" t="s">
        <v>47</v>
      </c>
      <c r="F110" s="93">
        <f>SUMIF(Tracker!$U$9:$U$425, E110, Tracker!$H$9:$H$425)+SUMIF(Tracker!$U$9:$U$425, E110, Tracker!$I$9:$I$425)</f>
        <v>20085.692911913222</v>
      </c>
      <c r="G110" s="8">
        <f>SUMIF(Tracker!$U$9:$U$425, E110, Tracker!$J$9:$J$425)</f>
        <v>91.967458387881052</v>
      </c>
      <c r="H110" s="49">
        <f t="shared" si="3"/>
        <v>32.968144130665166</v>
      </c>
      <c r="I110" s="8">
        <f>H110*(21600/VLOOKUP(E110, Tracker!$U$9:$W$425, 3, FALSE))</f>
        <v>39.561772956798201</v>
      </c>
    </row>
    <row r="111" spans="1:9" ht="25" customHeight="1" x14ac:dyDescent="0.35">
      <c r="A111" s="8" t="s">
        <v>42</v>
      </c>
      <c r="B111" s="93">
        <f>SUMIF(Tracker!$U$9:$U$425, A111, Tracker!$H$9:$H$425)+SUMIF(Tracker!$U$9:$U$425, A111, Tracker!$I$9:$I$425)</f>
        <v>24000</v>
      </c>
      <c r="C111" s="8">
        <f>SUMIF(Tracker!$U$9:$U$425, A111, Tracker!$J$9:$J$425)</f>
        <v>109</v>
      </c>
      <c r="E111" s="8" t="s">
        <v>50</v>
      </c>
      <c r="F111" s="93">
        <f>SUMIF(Tracker!$U$9:$U$425, E111, Tracker!$H$9:$H$425)+SUMIF(Tracker!$U$9:$U$425, E111, Tracker!$I$9:$I$425)</f>
        <v>20085.692911913222</v>
      </c>
      <c r="G111" s="8">
        <f>SUMIF(Tracker!$U$9:$U$425, E111, Tracker!$J$9:$J$425)</f>
        <v>91.967458387881052</v>
      </c>
      <c r="H111" s="49">
        <f t="shared" si="3"/>
        <v>32.968144130665166</v>
      </c>
      <c r="I111" s="8">
        <f>H111*(21600/VLOOKUP(E111, Tracker!$U$9:$W$425, 3, FALSE))</f>
        <v>39.561772956798201</v>
      </c>
    </row>
    <row r="112" spans="1:9" ht="25" customHeight="1" x14ac:dyDescent="0.35">
      <c r="A112" s="8" t="s">
        <v>36</v>
      </c>
      <c r="B112" s="93">
        <f>SUMIF(Tracker!$U$9:$U$425, A112, Tracker!$H$9:$H$425)+SUMIF(Tracker!$U$9:$U$425, A112, Tracker!$I$9:$I$425)</f>
        <v>23314.830746212829</v>
      </c>
      <c r="C112" s="8">
        <f>SUMIF(Tracker!$U$9:$U$425, A112, Tracker!$J$9:$J$425)</f>
        <v>85.716289508135404</v>
      </c>
      <c r="E112" s="8" t="s">
        <v>42</v>
      </c>
      <c r="F112" s="93">
        <f>SUMIF(Tracker!$U$9:$U$425, E112, Tracker!$H$9:$H$425)+SUMIF(Tracker!$U$9:$U$425, E112, Tracker!$I$9:$I$425)</f>
        <v>24000</v>
      </c>
      <c r="G112" s="8">
        <f>SUMIF(Tracker!$U$9:$U$425, E112, Tracker!$J$9:$J$425)</f>
        <v>109</v>
      </c>
      <c r="H112" s="49">
        <f t="shared" si="3"/>
        <v>39.223443223443226</v>
      </c>
      <c r="I112" s="8">
        <f>H112*(21600/VLOOKUP(E112, Tracker!$U$9:$W$425, 3, FALSE))</f>
        <v>39.223443223443226</v>
      </c>
    </row>
    <row r="113" spans="1:9" ht="25" customHeight="1" x14ac:dyDescent="0.35">
      <c r="A113" s="8" t="s">
        <v>30</v>
      </c>
      <c r="B113" s="93">
        <f>SUMIF(Tracker!$U$9:$U$425, A113, Tracker!$H$9:$H$425)+SUMIF(Tracker!$U$9:$U$425, A113, Tracker!$I$9:$I$425)</f>
        <v>24088.386010847204</v>
      </c>
      <c r="C113" s="8">
        <f>SUMIF(Tracker!$U$9:$U$425, A113, Tracker!$J$9:$J$425)</f>
        <v>107.98242004862539</v>
      </c>
      <c r="E113" s="8" t="s">
        <v>71</v>
      </c>
      <c r="F113" s="93">
        <f>SUMIF(Tracker!$U$9:$U$425, E113, Tracker!$H$9:$H$425)+SUMIF(Tracker!$U$9:$U$425, E113, Tracker!$I$9:$I$425)</f>
        <v>33943.650645221613</v>
      </c>
      <c r="G113" s="8">
        <f>SUMIF(Tracker!$U$9:$U$425, E113, Tracker!$J$9:$J$425)</f>
        <v>137.14606321301665</v>
      </c>
      <c r="H113" s="49">
        <f t="shared" si="3"/>
        <v>52.233560155946535</v>
      </c>
      <c r="I113" s="8">
        <f>H113*(21600/VLOOKUP(E113, Tracker!$U$9:$W$425, 3, FALSE))</f>
        <v>45.129795974737803</v>
      </c>
    </row>
    <row r="114" spans="1:9" ht="25" customHeight="1" x14ac:dyDescent="0.35">
      <c r="A114" s="8" t="s">
        <v>86</v>
      </c>
      <c r="B114" s="93">
        <f>SUMIF(Tracker!$U$9:$U$425, A114, Tracker!$H$9:$H$425)+SUMIF(Tracker!$U$9:$U$425, A114, Tracker!$I$9:$I$425)</f>
        <v>23050.612492986722</v>
      </c>
      <c r="C114" s="8">
        <f>SUMIF(Tracker!$U$9:$U$425, A114, Tracker!$J$9:$J$425)</f>
        <v>106.91560688236393</v>
      </c>
      <c r="E114" s="8" t="s">
        <v>36</v>
      </c>
      <c r="F114" s="93">
        <f>SUMIF(Tracker!$U$9:$U$425, E114, Tracker!$H$9:$H$425)+SUMIF(Tracker!$U$9:$U$425, E114, Tracker!$I$9:$I$425)</f>
        <v>23314.830746212829</v>
      </c>
      <c r="G114" s="8">
        <f>SUMIF(Tracker!$U$9:$U$425, E114, Tracker!$J$9:$J$425)</f>
        <v>85.716289508135404</v>
      </c>
      <c r="H114" s="49">
        <f t="shared" si="3"/>
        <v>34.261397476658367</v>
      </c>
      <c r="I114" s="8">
        <f>H114*(21600/VLOOKUP(E114, Tracker!$U$9:$W$425, 3, FALSE))</f>
        <v>37.002309274791038</v>
      </c>
    </row>
    <row r="115" spans="1:9" ht="25" customHeight="1" x14ac:dyDescent="0.35">
      <c r="A115" s="8" t="s">
        <v>33</v>
      </c>
      <c r="B115" s="93">
        <f>SUMIF(Tracker!$U$9:$U$425, A115, Tracker!$H$9:$H$425)+SUMIF(Tracker!$U$9:$U$425, A115, Tracker!$I$9:$I$425)</f>
        <v>22743.388816158593</v>
      </c>
      <c r="C115" s="8">
        <f>SUMIF(Tracker!$U$9:$U$425, A115, Tracker!$J$9:$J$425)</f>
        <v>85.716289508135404</v>
      </c>
      <c r="E115" s="8" t="s">
        <v>65</v>
      </c>
      <c r="F115" s="93">
        <f>SUMIF(Tracker!$U$9:$U$425, E115, Tracker!$H$9:$H$425)+SUMIF(Tracker!$U$9:$U$425, E115, Tracker!$I$9:$I$425)</f>
        <v>17289.882176921637</v>
      </c>
      <c r="G115" s="8">
        <f>SUMIF(Tracker!$U$9:$U$425, E115, Tracker!$J$9:$J$425)</f>
        <v>80.195623714232283</v>
      </c>
      <c r="H115" s="49">
        <f t="shared" si="3"/>
        <v>28.575266264811809</v>
      </c>
      <c r="I115" s="8">
        <f>H115*(21600/VLOOKUP(E115, Tracker!$U$9:$W$425, 3, FALSE))</f>
        <v>34.290319517774172</v>
      </c>
    </row>
    <row r="116" spans="1:9" ht="25" customHeight="1" x14ac:dyDescent="0.35">
      <c r="A116" s="8" t="s">
        <v>83</v>
      </c>
      <c r="B116" s="93">
        <f>SUMIF(Tracker!$U$9:$U$425, A116, Tracker!$H$9:$H$425)+SUMIF(Tracker!$U$9:$U$425, A116, Tracker!$I$9:$I$425)</f>
        <v>23200</v>
      </c>
      <c r="C116" s="8">
        <f>SUMIF(Tracker!$U$9:$U$425, A116, Tracker!$J$9:$J$425)</f>
        <v>104</v>
      </c>
      <c r="E116" s="8" t="s">
        <v>56</v>
      </c>
      <c r="F116" s="93">
        <f>SUMIF(Tracker!$U$9:$U$425, E116, Tracker!$H$9:$H$425)+SUMIF(Tracker!$U$9:$U$425, E116, Tracker!$I$9:$I$425)</f>
        <v>17289.882176921637</v>
      </c>
      <c r="G116" s="8">
        <f>SUMIF(Tracker!$U$9:$U$425, E116, Tracker!$J$9:$J$425)</f>
        <v>80.195623714232283</v>
      </c>
      <c r="H116" s="49">
        <f t="shared" si="3"/>
        <v>28.575266264811809</v>
      </c>
      <c r="I116" s="8">
        <f>H116*(21600/VLOOKUP(E116, Tracker!$U$9:$W$425, 3, FALSE))</f>
        <v>34.290319517774172</v>
      </c>
    </row>
    <row r="117" spans="1:9" ht="25" customHeight="1" x14ac:dyDescent="0.35">
      <c r="A117" s="8" t="s">
        <v>79</v>
      </c>
      <c r="B117" s="93">
        <f>SUMIF(Tracker!$U$9:$U$425, A117, Tracker!$H$9:$H$425)+SUMIF(Tracker!$U$9:$U$425, A117, Tracker!$I$9:$I$425)</f>
        <v>21543.631943145687</v>
      </c>
      <c r="C117" s="8">
        <f>SUMIF(Tracker!$U$9:$U$425, A117, Tracker!$J$9:$J$425)</f>
        <v>96.574901814101366</v>
      </c>
      <c r="E117" s="8" t="s">
        <v>61</v>
      </c>
      <c r="F117" s="93">
        <f>SUMIF(Tracker!$U$9:$U$425, E117, Tracker!$H$9:$H$425)+SUMIF(Tracker!$U$9:$U$425, E117, Tracker!$I$9:$I$425)</f>
        <v>17289.882176921637</v>
      </c>
      <c r="G117" s="8">
        <f>SUMIF(Tracker!$U$9:$U$425, E117, Tracker!$J$9:$J$425)</f>
        <v>80.195623714232283</v>
      </c>
      <c r="H117" s="49">
        <f t="shared" si="3"/>
        <v>28.575266264811809</v>
      </c>
      <c r="I117" s="8">
        <f>H117*(21600/VLOOKUP(E117, Tracker!$U$9:$W$425, 3, FALSE))</f>
        <v>34.290319517774172</v>
      </c>
    </row>
    <row r="118" spans="1:9" ht="25" customHeight="1" x14ac:dyDescent="0.35">
      <c r="A118" s="8" t="s">
        <v>81</v>
      </c>
      <c r="B118" s="93">
        <f>SUMIF(Tracker!$U$9:$U$425, A118, Tracker!$H$9:$H$425)+SUMIF(Tracker!$U$9:$U$425, A118, Tracker!$I$9:$I$425)</f>
        <v>19900</v>
      </c>
      <c r="C118" s="8">
        <f>SUMIF(Tracker!$U$9:$U$425, A118, Tracker!$J$9:$J$425)</f>
        <v>75</v>
      </c>
      <c r="E118" s="8" t="s">
        <v>63</v>
      </c>
      <c r="F118" s="93">
        <f>SUMIF(Tracker!$U$9:$U$425, E118, Tracker!$H$9:$H$425)+SUMIF(Tracker!$U$9:$U$425, E118, Tracker!$I$9:$I$425)</f>
        <v>17289.882176921637</v>
      </c>
      <c r="G118" s="8">
        <f>SUMIF(Tracker!$U$9:$U$425, E118, Tracker!$J$9:$J$425)</f>
        <v>80.195623714232283</v>
      </c>
      <c r="H118" s="49">
        <f t="shared" si="3"/>
        <v>28.575266264811809</v>
      </c>
      <c r="I118" s="8">
        <f>H118*(21600/VLOOKUP(E118, Tracker!$U$9:$W$425, 3, FALSE))</f>
        <v>34.290319517774172</v>
      </c>
    </row>
    <row r="119" spans="1:9" ht="25" customHeight="1" x14ac:dyDescent="0.35">
      <c r="A119" s="8" t="s">
        <v>47</v>
      </c>
      <c r="B119" s="93">
        <f>SUMIF(Tracker!$U$9:$U$425, A119, Tracker!$H$9:$H$425)+SUMIF(Tracker!$U$9:$U$425, A119, Tracker!$I$9:$I$425)</f>
        <v>20085.692911913222</v>
      </c>
      <c r="C119" s="8">
        <f>SUMIF(Tracker!$U$9:$U$425, A119, Tracker!$J$9:$J$425)</f>
        <v>91.967458387881052</v>
      </c>
      <c r="E119" s="8" t="s">
        <v>33</v>
      </c>
      <c r="F119" s="93">
        <f>SUMIF(Tracker!$U$9:$U$425, E119, Tracker!$H$9:$H$425)+SUMIF(Tracker!$U$9:$U$425, E119, Tracker!$I$9:$I$425)</f>
        <v>22743.388816158593</v>
      </c>
      <c r="G119" s="8">
        <f>SUMIF(Tracker!$U$9:$U$425, E119, Tracker!$J$9:$J$425)</f>
        <v>85.716289508135404</v>
      </c>
      <c r="H119" s="49">
        <f t="shared" si="3"/>
        <v>33.821826761232032</v>
      </c>
      <c r="I119" s="8">
        <f>H119*(21600/VLOOKUP(E119, Tracker!$U$9:$W$425, 3, FALSE))</f>
        <v>33.206884456482356</v>
      </c>
    </row>
    <row r="120" spans="1:9" ht="25" customHeight="1" x14ac:dyDescent="0.35">
      <c r="A120" s="8" t="s">
        <v>50</v>
      </c>
      <c r="B120" s="93">
        <f>SUMIF(Tracker!$U$9:$U$425, A120, Tracker!$H$9:$H$425)+SUMIF(Tracker!$U$9:$U$425, A120, Tracker!$I$9:$I$425)</f>
        <v>20085.692911913222</v>
      </c>
      <c r="C120" s="8">
        <f>SUMIF(Tracker!$U$9:$U$425, A120, Tracker!$J$9:$J$425)</f>
        <v>91.967458387881052</v>
      </c>
      <c r="E120" s="8" t="s">
        <v>81</v>
      </c>
      <c r="F120" s="93">
        <f>SUMIF(Tracker!$U$9:$U$425, E120, Tracker!$H$9:$H$425)+SUMIF(Tracker!$U$9:$U$425, E120, Tracker!$I$9:$I$425)</f>
        <v>19900</v>
      </c>
      <c r="G120" s="8">
        <f>SUMIF(Tracker!$U$9:$U$425, E120, Tracker!$J$9:$J$425)</f>
        <v>75</v>
      </c>
      <c r="H120" s="49">
        <f t="shared" si="3"/>
        <v>29.593406593406595</v>
      </c>
      <c r="I120" s="8">
        <f>H120*(21600/VLOOKUP(E120, Tracker!$U$9:$W$425, 3, FALSE))</f>
        <v>31.960879120879124</v>
      </c>
    </row>
    <row r="121" spans="1:9" ht="25" customHeight="1" x14ac:dyDescent="0.35">
      <c r="A121" s="8" t="s">
        <v>48</v>
      </c>
      <c r="B121" s="93">
        <f>SUMIF(Tracker!$U$9:$U$425, A121, Tracker!$H$9:$H$425)+SUMIF(Tracker!$U$9:$U$425, A121, Tracker!$I$9:$I$425)</f>
        <v>20085.692911913222</v>
      </c>
      <c r="C121" s="8">
        <f>SUMIF(Tracker!$U$9:$U$425, A121, Tracker!$J$9:$J$425)</f>
        <v>91.967458387881052</v>
      </c>
      <c r="E121" s="8" t="s">
        <v>22</v>
      </c>
      <c r="F121" s="93">
        <f>SUMIF(Tracker!$U$9:$U$425, E121, Tracker!$H$9:$H$425)+SUMIF(Tracker!$U$9:$U$425, E121, Tracker!$I$9:$I$425)</f>
        <v>15352.066579390314</v>
      </c>
      <c r="G121" s="8">
        <f>SUMIF(Tracker!$U$9:$U$425, E121, Tracker!$J$9:$J$425)</f>
        <v>57.859547409762484</v>
      </c>
      <c r="H121" s="49">
        <f t="shared" si="3"/>
        <v>22.83014815743449</v>
      </c>
      <c r="I121" s="8">
        <f>H121*(21600/VLOOKUP(E121, Tracker!$U$9:$W$425, 3, FALSE))</f>
        <v>30.820700012536562</v>
      </c>
    </row>
    <row r="122" spans="1:9" ht="25" customHeight="1" x14ac:dyDescent="0.35">
      <c r="A122" s="8" t="s">
        <v>58</v>
      </c>
      <c r="B122" s="93">
        <f>SUMIF(Tracker!$U$9:$U$425, A122, Tracker!$H$9:$H$425)+SUMIF(Tracker!$U$9:$U$425, A122, Tracker!$I$9:$I$425)</f>
        <v>18479.236020198245</v>
      </c>
      <c r="C122" s="8">
        <f>SUMIF(Tracker!$U$9:$U$425, A122, Tracker!$J$9:$J$425)</f>
        <v>69.645361885169251</v>
      </c>
      <c r="E122" s="8" t="s">
        <v>16</v>
      </c>
      <c r="F122" s="93">
        <f>SUMIF(Tracker!$U$9:$U$425, E122, Tracker!$H$9:$H$425)+SUMIF(Tracker!$U$9:$U$425, E122, Tracker!$I$9:$I$425)</f>
        <v>37960</v>
      </c>
      <c r="G122" s="8">
        <f>SUMIF(Tracker!$U$9:$U$425, E122, Tracker!$J$9:$J$425)</f>
        <v>156</v>
      </c>
      <c r="H122" s="49">
        <f t="shared" si="3"/>
        <v>58.914285714285711</v>
      </c>
      <c r="I122" s="8">
        <f>H122*(21600/VLOOKUP(E122, Tracker!$U$9:$W$425, 3, FALSE))</f>
        <v>30.298775510204077</v>
      </c>
    </row>
    <row r="123" spans="1:9" ht="25" customHeight="1" x14ac:dyDescent="0.35">
      <c r="A123" s="8" t="s">
        <v>65</v>
      </c>
      <c r="B123" s="93">
        <f>SUMIF(Tracker!$U$9:$U$425, A123, Tracker!$H$9:$H$425)+SUMIF(Tracker!$U$9:$U$425, A123, Tracker!$I$9:$I$425)</f>
        <v>17289.882176921637</v>
      </c>
      <c r="C123" s="8">
        <f>SUMIF(Tracker!$U$9:$U$425, A123, Tracker!$J$9:$J$425)</f>
        <v>80.195623714232283</v>
      </c>
      <c r="E123" s="8" t="s">
        <v>58</v>
      </c>
      <c r="F123" s="93">
        <f>SUMIF(Tracker!$U$9:$U$425, E123, Tracker!$H$9:$H$425)+SUMIF(Tracker!$U$9:$U$425, E123, Tracker!$I$9:$I$425)</f>
        <v>18479.236020198245</v>
      </c>
      <c r="G123" s="8">
        <f>SUMIF(Tracker!$U$9:$U$425, E123, Tracker!$J$9:$J$425)</f>
        <v>69.645361885169251</v>
      </c>
      <c r="H123" s="49">
        <f t="shared" si="3"/>
        <v>27.480580154836751</v>
      </c>
      <c r="I123" s="8">
        <f>H123*(21600/VLOOKUP(E123, Tracker!$U$9:$W$425, 3, FALSE))</f>
        <v>29.679026567223694</v>
      </c>
    </row>
    <row r="124" spans="1:9" ht="25" customHeight="1" x14ac:dyDescent="0.35">
      <c r="A124" s="8" t="s">
        <v>56</v>
      </c>
      <c r="B124" s="93">
        <f>SUMIF(Tracker!$U$9:$U$425, A124, Tracker!$H$9:$H$425)+SUMIF(Tracker!$U$9:$U$425, A124, Tracker!$I$9:$I$425)</f>
        <v>17289.882176921637</v>
      </c>
      <c r="C124" s="8">
        <f>SUMIF(Tracker!$U$9:$U$425, A124, Tracker!$J$9:$J$425)</f>
        <v>80.195623714232283</v>
      </c>
      <c r="E124" s="8" t="s">
        <v>18</v>
      </c>
      <c r="F124" s="93">
        <f>SUMIF(Tracker!$U$9:$U$425, E124, Tracker!$H$9:$H$425)+SUMIF(Tracker!$U$9:$U$425, E124, Tracker!$I$9:$I$425)</f>
        <v>25870</v>
      </c>
      <c r="G124" s="8">
        <f>SUMIF(Tracker!$U$9:$U$425, E124, Tracker!$J$9:$J$425)</f>
        <v>97.5</v>
      </c>
      <c r="H124" s="49">
        <f t="shared" si="3"/>
        <v>38.471428571428568</v>
      </c>
      <c r="I124" s="8">
        <f>H124*(21600/VLOOKUP(E124, Tracker!$U$9:$W$425, 3, FALSE))</f>
        <v>25.968214285714286</v>
      </c>
    </row>
    <row r="125" spans="1:9" ht="25" customHeight="1" x14ac:dyDescent="0.35">
      <c r="A125" s="8" t="s">
        <v>61</v>
      </c>
      <c r="B125" s="93">
        <f>SUMIF(Tracker!$U$9:$U$425, A125, Tracker!$H$9:$H$425)+SUMIF(Tracker!$U$9:$U$425, A125, Tracker!$I$9:$I$425)</f>
        <v>17289.882176921637</v>
      </c>
      <c r="C125" s="8">
        <f>SUMIF(Tracker!$U$9:$U$425, A125, Tracker!$J$9:$J$425)</f>
        <v>80.195623714232283</v>
      </c>
      <c r="E125" s="8" t="s">
        <v>19</v>
      </c>
      <c r="F125" s="93">
        <f>SUMIF(Tracker!$U$9:$U$425, E125, Tracker!$H$9:$H$425)+SUMIF(Tracker!$U$9:$U$425, E125, Tracker!$I$9:$I$425)</f>
        <v>25870</v>
      </c>
      <c r="G125" s="8">
        <f>SUMIF(Tracker!$U$9:$U$425, E125, Tracker!$J$9:$J$425)</f>
        <v>97.5</v>
      </c>
      <c r="H125" s="49">
        <f t="shared" si="3"/>
        <v>38.471428571428568</v>
      </c>
      <c r="I125" s="8">
        <f>H125*(21600/VLOOKUP(E125, Tracker!$U$9:$W$425, 3, FALSE))</f>
        <v>25.968214285714286</v>
      </c>
    </row>
    <row r="126" spans="1:9" ht="25" customHeight="1" x14ac:dyDescent="0.35">
      <c r="A126" s="8" t="s">
        <v>63</v>
      </c>
      <c r="B126" s="93">
        <f>SUMIF(Tracker!$U$9:$U$425, A126, Tracker!$H$9:$H$425)+SUMIF(Tracker!$U$9:$U$425, A126, Tracker!$I$9:$I$425)</f>
        <v>17289.882176921637</v>
      </c>
      <c r="C126" s="8">
        <f>SUMIF(Tracker!$U$9:$U$425, A126, Tracker!$J$9:$J$425)</f>
        <v>80.195623714232283</v>
      </c>
      <c r="E126" s="8" t="s">
        <v>28</v>
      </c>
      <c r="F126" s="93">
        <f>SUMIF(Tracker!$U$9:$U$425, E126, Tracker!$H$9:$H$425)+SUMIF(Tracker!$U$9:$U$425, E126, Tracker!$I$9:$I$425)</f>
        <v>14638.189639049935</v>
      </c>
      <c r="G126" s="8">
        <f>SUMIF(Tracker!$U$9:$U$425, E126, Tracker!$J$9:$J$425)</f>
        <v>65.974939218253226</v>
      </c>
      <c r="H126" s="49">
        <f t="shared" ref="H126:H157" si="4">80*((F126/52000)+(G126/210))/2</f>
        <v>23.826800965383349</v>
      </c>
      <c r="I126" s="8">
        <f>H126*(21600/VLOOKUP(E126, Tracker!$U$9:$W$425, 3, FALSE))</f>
        <v>25.73294504261402</v>
      </c>
    </row>
    <row r="127" spans="1:9" ht="25" customHeight="1" x14ac:dyDescent="0.35">
      <c r="A127" s="8" t="s">
        <v>22</v>
      </c>
      <c r="B127" s="93">
        <f>SUMIF(Tracker!$U$9:$U$425, A127, Tracker!$H$9:$H$425)+SUMIF(Tracker!$U$9:$U$425, A127, Tracker!$I$9:$I$425)</f>
        <v>15352.066579390314</v>
      </c>
      <c r="C127" s="8">
        <f>SUMIF(Tracker!$U$9:$U$425, A127, Tracker!$J$9:$J$425)</f>
        <v>57.859547409762484</v>
      </c>
      <c r="E127" s="8" t="s">
        <v>20</v>
      </c>
      <c r="F127" s="93">
        <f>SUMIF(Tracker!$U$9:$U$425, E127, Tracker!$H$9:$H$425)+SUMIF(Tracker!$U$9:$U$425, E127, Tracker!$I$9:$I$425)</f>
        <v>15352.066579390314</v>
      </c>
      <c r="G127" s="8">
        <f>SUMIF(Tracker!$U$9:$U$425, E127, Tracker!$J$9:$J$425)</f>
        <v>57.859547409762484</v>
      </c>
      <c r="H127" s="49">
        <f t="shared" si="4"/>
        <v>22.83014815743449</v>
      </c>
      <c r="I127" s="8">
        <f>H127*(21600/VLOOKUP(E127, Tracker!$U$9:$W$425, 3, FALSE))</f>
        <v>30.820700012536562</v>
      </c>
    </row>
    <row r="128" spans="1:9" ht="25" customHeight="1" x14ac:dyDescent="0.35">
      <c r="A128" s="8" t="s">
        <v>51</v>
      </c>
      <c r="B128" s="93">
        <f>SUMIF(Tracker!$U$9:$U$425, A128, Tracker!$H$9:$H$425)+SUMIF(Tracker!$U$9:$U$425, A128, Tracker!$I$9:$I$425)</f>
        <v>22007.934355713485</v>
      </c>
      <c r="C128" s="8">
        <f>SUMIF(Tracker!$U$9:$U$425, A128, Tracker!$J$9:$J$425)</f>
        <v>84.503039087338692</v>
      </c>
      <c r="E128" s="8" t="s">
        <v>23</v>
      </c>
      <c r="F128" s="93">
        <f>SUMIF(Tracker!$U$9:$U$425, E128, Tracker!$H$9:$H$425)+SUMIF(Tracker!$U$9:$U$425, E128, Tracker!$I$9:$I$425)</f>
        <v>10954.740976248364</v>
      </c>
      <c r="G128" s="8">
        <f>SUMIF(Tracker!$U$9:$U$425, E128, Tracker!$J$9:$J$425)</f>
        <v>49.373480456330654</v>
      </c>
      <c r="H128" s="49">
        <f t="shared" si="4"/>
        <v>17.831196295755863</v>
      </c>
      <c r="I128" s="8">
        <f>H128*(21600/VLOOKUP(E128, Tracker!$U$9:$W$425, 3, FALSE))</f>
        <v>24.072114999270415</v>
      </c>
    </row>
    <row r="129" spans="1:9" ht="25" customHeight="1" x14ac:dyDescent="0.35">
      <c r="A129" s="8" t="s">
        <v>28</v>
      </c>
      <c r="B129" s="93">
        <f>SUMIF(Tracker!$U$9:$U$425, A129, Tracker!$H$9:$H$425)+SUMIF(Tracker!$U$9:$U$425, A129, Tracker!$I$9:$I$425)</f>
        <v>14638.189639049935</v>
      </c>
      <c r="C129" s="8">
        <f>SUMIF(Tracker!$U$9:$U$425, A129, Tracker!$J$9:$J$425)</f>
        <v>65.974939218253226</v>
      </c>
      <c r="E129" s="8" t="s">
        <v>24</v>
      </c>
      <c r="F129" s="93">
        <f>SUMIF(Tracker!$U$9:$U$425, E129, Tracker!$H$9:$H$425)+SUMIF(Tracker!$U$9:$U$425, E129, Tracker!$I$9:$I$425)</f>
        <v>10954.740976248364</v>
      </c>
      <c r="G129" s="8">
        <f>SUMIF(Tracker!$U$9:$U$425, E129, Tracker!$J$9:$J$425)</f>
        <v>49.373480456330654</v>
      </c>
      <c r="H129" s="49">
        <f t="shared" si="4"/>
        <v>17.831196295755863</v>
      </c>
      <c r="I129" s="8">
        <f>H129*(21600/VLOOKUP(E129, Tracker!$U$9:$W$425, 3, FALSE))</f>
        <v>24.072114999270415</v>
      </c>
    </row>
    <row r="130" spans="1:9" ht="25" customHeight="1" x14ac:dyDescent="0.35">
      <c r="A130" s="8" t="s">
        <v>40</v>
      </c>
      <c r="B130" s="93">
        <f>SUMIF(Tracker!$U$9:$U$425, A130, Tracker!$H$9:$H$425)+SUMIF(Tracker!$U$9:$U$425, A130, Tracker!$I$9:$I$425)</f>
        <v>14418.893772208716</v>
      </c>
      <c r="C130" s="8">
        <f>SUMIF(Tracker!$U$9:$U$425, A130, Tracker!$J$9:$J$425)</f>
        <v>62.776136151112773</v>
      </c>
      <c r="E130" s="8" t="s">
        <v>25</v>
      </c>
      <c r="F130" s="93">
        <f>SUMIF(Tracker!$U$9:$U$425, E130, Tracker!$H$9:$H$425)+SUMIF(Tracker!$U$9:$U$425, E130, Tracker!$I$9:$I$425)</f>
        <v>10954.740976248364</v>
      </c>
      <c r="G130" s="8">
        <f>SUMIF(Tracker!$U$9:$U$425, E130, Tracker!$J$9:$J$425)</f>
        <v>49.373480456330654</v>
      </c>
      <c r="H130" s="49">
        <f t="shared" si="4"/>
        <v>17.831196295755863</v>
      </c>
      <c r="I130" s="8">
        <f>H130*(21600/VLOOKUP(E130, Tracker!$U$9:$W$425, 3, FALSE))</f>
        <v>24.072114999270415</v>
      </c>
    </row>
    <row r="131" spans="1:9" ht="25" customHeight="1" x14ac:dyDescent="0.35">
      <c r="A131" s="8" t="s">
        <v>85</v>
      </c>
      <c r="B131" s="93">
        <f>SUMIF(Tracker!$U$9:$U$425, A131, Tracker!$H$9:$H$425)+SUMIF(Tracker!$U$9:$U$425, A131, Tracker!$I$9:$I$425)</f>
        <v>13388.68524406209</v>
      </c>
      <c r="C131" s="8">
        <f>SUMIF(Tracker!$U$9:$U$425, A131, Tracker!$J$9:$J$425)</f>
        <v>60.34337011408266</v>
      </c>
      <c r="E131" s="8" t="s">
        <v>26</v>
      </c>
      <c r="F131" s="93">
        <f>SUMIF(Tracker!$U$9:$U$425, E131, Tracker!$H$9:$H$425)+SUMIF(Tracker!$U$9:$U$425, E131, Tracker!$I$9:$I$425)</f>
        <v>15352.066579390314</v>
      </c>
      <c r="G131" s="8">
        <f>SUMIF(Tracker!$U$9:$U$425, E131, Tracker!$J$9:$J$425)</f>
        <v>57.859547409762484</v>
      </c>
      <c r="H131" s="49">
        <f t="shared" si="4"/>
        <v>22.83014815743449</v>
      </c>
      <c r="I131" s="8">
        <f>H131*(21600/VLOOKUP(E131, Tracker!$U$9:$W$425, 3, FALSE))</f>
        <v>30.820700012536562</v>
      </c>
    </row>
    <row r="132" spans="1:9" ht="25" customHeight="1" x14ac:dyDescent="0.35">
      <c r="A132" s="8" t="s">
        <v>37</v>
      </c>
      <c r="B132" s="93">
        <f>SUMIF(Tracker!$U$9:$U$425, A132, Tracker!$H$9:$H$425)+SUMIF(Tracker!$U$9:$U$425, A132, Tracker!$I$9:$I$425)</f>
        <v>13260</v>
      </c>
      <c r="C132" s="8">
        <f>SUMIF(Tracker!$U$9:$U$425, A132, Tracker!$J$9:$J$425)</f>
        <v>14.3</v>
      </c>
      <c r="E132" s="8" t="s">
        <v>85</v>
      </c>
      <c r="F132" s="93">
        <f>SUMIF(Tracker!$U$9:$U$425, E132, Tracker!$H$9:$H$425)+SUMIF(Tracker!$U$9:$U$425, E132, Tracker!$I$9:$I$425)</f>
        <v>13388.68524406209</v>
      </c>
      <c r="G132" s="8">
        <f>SUMIF(Tracker!$U$9:$U$425, E132, Tracker!$J$9:$J$425)</f>
        <v>60.34337011408266</v>
      </c>
      <c r="H132" s="49">
        <f t="shared" si="4"/>
        <v>21.792963909103801</v>
      </c>
      <c r="I132" s="8">
        <f>H132*(21600/VLOOKUP(E132, Tracker!$U$9:$W$425, 3, FALSE))</f>
        <v>23.536401021832106</v>
      </c>
    </row>
    <row r="133" spans="1:9" ht="25" customHeight="1" x14ac:dyDescent="0.35">
      <c r="A133" s="8" t="s">
        <v>60</v>
      </c>
      <c r="B133" s="93">
        <f>SUMIF(Tracker!$U$9:$U$425, A133, Tracker!$H$9:$H$425)+SUMIF(Tracker!$U$9:$U$425, A133, Tracker!$I$9:$I$425)</f>
        <v>13186.18851692538</v>
      </c>
      <c r="C133" s="8">
        <f>SUMIF(Tracker!$U$9:$U$425, A133, Tracker!$J$9:$J$425)</f>
        <v>59.430708808677764</v>
      </c>
      <c r="E133" s="8" t="s">
        <v>15</v>
      </c>
      <c r="F133" s="93">
        <f>SUMIF(Tracker!$U$9:$U$425, E133, Tracker!$H$9:$H$425)+SUMIF(Tracker!$U$9:$U$425, E133, Tracker!$I$9:$I$425)</f>
        <v>7303.160650832242</v>
      </c>
      <c r="G133" s="8">
        <f>SUMIF(Tracker!$U$9:$U$425, E133, Tracker!$J$9:$J$425)</f>
        <v>32.915653637553767</v>
      </c>
      <c r="H133" s="49">
        <f t="shared" si="4"/>
        <v>11.887464197170575</v>
      </c>
      <c r="I133" s="8">
        <f>H133*(21600/VLOOKUP(E133, Tracker!$U$9:$W$425, 3, FALSE))</f>
        <v>23.342656968989491</v>
      </c>
    </row>
    <row r="134" spans="1:9" ht="25" customHeight="1" x14ac:dyDescent="0.35">
      <c r="A134" s="8" t="s">
        <v>80</v>
      </c>
      <c r="B134" s="93">
        <f>SUMIF(Tracker!$U$9:$U$425, A134, Tracker!$H$9:$H$425)+SUMIF(Tracker!$U$9:$U$425, A134, Tracker!$I$9:$I$425)</f>
        <v>13186.18851692538</v>
      </c>
      <c r="C134" s="8">
        <f>SUMIF(Tracker!$U$9:$U$425, A134, Tracker!$J$9:$J$425)</f>
        <v>59.430708808677764</v>
      </c>
      <c r="E134" s="8" t="s">
        <v>60</v>
      </c>
      <c r="F134" s="93">
        <f>SUMIF(Tracker!$U$9:$U$425, E134, Tracker!$H$9:$H$425)+SUMIF(Tracker!$U$9:$U$425, E134, Tracker!$I$9:$I$425)</f>
        <v>13186.18851692538</v>
      </c>
      <c r="G134" s="8">
        <f>SUMIF(Tracker!$U$9:$U$425, E134, Tracker!$J$9:$J$425)</f>
        <v>59.430708808677764</v>
      </c>
      <c r="H134" s="49">
        <f t="shared" si="4"/>
        <v>21.463356947273162</v>
      </c>
      <c r="I134" s="8">
        <f>H134*(21600/VLOOKUP(E134, Tracker!$U$9:$W$425, 3, FALSE))</f>
        <v>23.180425503055016</v>
      </c>
    </row>
    <row r="135" spans="1:9" ht="25" customHeight="1" x14ac:dyDescent="0.35">
      <c r="A135" s="8" t="s">
        <v>90</v>
      </c>
      <c r="B135" s="93">
        <f>SUMIF(Tracker!$U$9:$U$425, A135, Tracker!$H$9:$H$425)+SUMIF(Tracker!$U$9:$U$425, A135, Tracker!$I$9:$I$425)</f>
        <v>12171.713110155226</v>
      </c>
      <c r="C135" s="8">
        <f>SUMIF(Tracker!$U$9:$U$425, A135, Tracker!$J$9:$J$425)</f>
        <v>54.858425285206657</v>
      </c>
      <c r="E135" s="8" t="s">
        <v>80</v>
      </c>
      <c r="F135" s="93">
        <f>SUMIF(Tracker!$U$9:$U$425, E135, Tracker!$H$9:$H$425)+SUMIF(Tracker!$U$9:$U$425, E135, Tracker!$I$9:$I$425)</f>
        <v>13186.18851692538</v>
      </c>
      <c r="G135" s="8">
        <f>SUMIF(Tracker!$U$9:$U$425, E135, Tracker!$J$9:$J$425)</f>
        <v>59.430708808677764</v>
      </c>
      <c r="H135" s="49">
        <f t="shared" si="4"/>
        <v>21.463356947273162</v>
      </c>
      <c r="I135" s="8">
        <f>H135*(21600/VLOOKUP(E135, Tracker!$U$9:$W$425, 3, FALSE))</f>
        <v>23.180425503055016</v>
      </c>
    </row>
    <row r="136" spans="1:9" ht="25" customHeight="1" x14ac:dyDescent="0.35">
      <c r="A136" s="8" t="s">
        <v>89</v>
      </c>
      <c r="B136" s="93">
        <f>SUMIF(Tracker!$U$9:$U$425, A136, Tracker!$H$9:$H$425)+SUMIF(Tracker!$U$9:$U$425, A136, Tracker!$I$9:$I$425)</f>
        <v>12171.713110155226</v>
      </c>
      <c r="C136" s="8">
        <f>SUMIF(Tracker!$U$9:$U$425, A136, Tracker!$J$9:$J$425)</f>
        <v>54.858425285206657</v>
      </c>
      <c r="E136" s="8" t="s">
        <v>40</v>
      </c>
      <c r="F136" s="93">
        <f>SUMIF(Tracker!$U$9:$U$425, E136, Tracker!$H$9:$H$425)+SUMIF(Tracker!$U$9:$U$425, E136, Tracker!$I$9:$I$425)</f>
        <v>14418.893772208716</v>
      </c>
      <c r="G136" s="8">
        <f>SUMIF(Tracker!$U$9:$U$425, E136, Tracker!$J$9:$J$425)</f>
        <v>62.776136151112773</v>
      </c>
      <c r="H136" s="49">
        <f t="shared" si="4"/>
        <v>23.048816014731486</v>
      </c>
      <c r="I136" s="8">
        <f>H136*(21600/VLOOKUP(E136, Tracker!$U$9:$W$425, 3, FALSE))</f>
        <v>23.048816014731486</v>
      </c>
    </row>
    <row r="137" spans="1:9" ht="25" customHeight="1" x14ac:dyDescent="0.35">
      <c r="A137" s="8" t="s">
        <v>75</v>
      </c>
      <c r="B137" s="93">
        <f>SUMIF(Tracker!$U$9:$U$425, A137, Tracker!$H$9:$H$425)+SUMIF(Tracker!$U$9:$U$425, A137, Tracker!$I$9:$I$425)</f>
        <v>12171.713110155226</v>
      </c>
      <c r="C137" s="8">
        <f>SUMIF(Tracker!$U$9:$U$425, A137, Tracker!$J$9:$J$425)</f>
        <v>54.858425285206657</v>
      </c>
      <c r="E137" s="8" t="s">
        <v>90</v>
      </c>
      <c r="F137" s="93">
        <f>SUMIF(Tracker!$U$9:$U$425, E137, Tracker!$H$9:$H$425)+SUMIF(Tracker!$U$9:$U$425, E137, Tracker!$I$9:$I$425)</f>
        <v>12171.713110155226</v>
      </c>
      <c r="G137" s="8">
        <f>SUMIF(Tracker!$U$9:$U$425, E137, Tracker!$J$9:$J$425)</f>
        <v>54.858425285206657</v>
      </c>
      <c r="H137" s="49">
        <f t="shared" si="4"/>
        <v>19.812080102429832</v>
      </c>
      <c r="I137" s="8">
        <f>H137*(21600/VLOOKUP(E137, Tracker!$U$9:$W$425, 3, FALSE))</f>
        <v>21.397046510624218</v>
      </c>
    </row>
    <row r="138" spans="1:9" ht="25" customHeight="1" x14ac:dyDescent="0.35">
      <c r="A138" s="8" t="s">
        <v>20</v>
      </c>
      <c r="B138" s="93">
        <f>SUMIF(Tracker!$U$9:$U$425, A138, Tracker!$H$9:$H$425)+SUMIF(Tracker!$U$9:$U$425, A138, Tracker!$I$9:$I$425)</f>
        <v>15352.066579390314</v>
      </c>
      <c r="C138" s="8">
        <f>SUMIF(Tracker!$U$9:$U$425, A138, Tracker!$J$9:$J$425)</f>
        <v>57.859547409762484</v>
      </c>
      <c r="E138" s="8" t="s">
        <v>89</v>
      </c>
      <c r="F138" s="93">
        <f>SUMIF(Tracker!$U$9:$U$425, E138, Tracker!$H$9:$H$425)+SUMIF(Tracker!$U$9:$U$425, E138, Tracker!$I$9:$I$425)</f>
        <v>12171.713110155226</v>
      </c>
      <c r="G138" s="8">
        <f>SUMIF(Tracker!$U$9:$U$425, E138, Tracker!$J$9:$J$425)</f>
        <v>54.858425285206657</v>
      </c>
      <c r="H138" s="49">
        <f t="shared" si="4"/>
        <v>19.812080102429832</v>
      </c>
      <c r="I138" s="8">
        <f>H138*(21600/VLOOKUP(E138, Tracker!$U$9:$W$425, 3, FALSE))</f>
        <v>21.397046510624218</v>
      </c>
    </row>
    <row r="139" spans="1:9" ht="25" customHeight="1" x14ac:dyDescent="0.35">
      <c r="A139" s="8" t="s">
        <v>23</v>
      </c>
      <c r="B139" s="93">
        <f>SUMIF(Tracker!$U$9:$U$425, A139, Tracker!$H$9:$H$425)+SUMIF(Tracker!$U$9:$U$425, A139, Tracker!$I$9:$I$425)</f>
        <v>10954.740976248364</v>
      </c>
      <c r="C139" s="8">
        <f>SUMIF(Tracker!$U$9:$U$425, A139, Tracker!$J$9:$J$425)</f>
        <v>49.373480456330654</v>
      </c>
      <c r="E139" s="8" t="s">
        <v>96</v>
      </c>
      <c r="F139" s="93">
        <f>SUMIF(Tracker!$U$9:$U$425, E139, Tracker!$H$9:$H$425)+SUMIF(Tracker!$U$9:$U$425, E139, Tracker!$I$9:$I$425)</f>
        <v>10628.819899008789</v>
      </c>
      <c r="G139" s="8">
        <f>SUMIF(Tracker!$U$9:$U$425, E139, Tracker!$J$9:$J$425)</f>
        <v>51.429773704881242</v>
      </c>
      <c r="H139" s="49">
        <f t="shared" si="4"/>
        <v>17.972162679288171</v>
      </c>
      <c r="I139" s="8">
        <f>H139*(21600/VLOOKUP(E139, Tracker!$U$9:$W$425, 3, FALSE))</f>
        <v>19.409935693631226</v>
      </c>
    </row>
    <row r="140" spans="1:9" ht="25" customHeight="1" x14ac:dyDescent="0.35">
      <c r="A140" s="8" t="s">
        <v>24</v>
      </c>
      <c r="B140" s="93">
        <f>SUMIF(Tracker!$U$9:$U$425, A140, Tracker!$H$9:$H$425)+SUMIF(Tracker!$U$9:$U$425, A140, Tracker!$I$9:$I$425)</f>
        <v>10954.740976248364</v>
      </c>
      <c r="C140" s="8">
        <f>SUMIF(Tracker!$U$9:$U$425, A140, Tracker!$J$9:$J$425)</f>
        <v>49.373480456330654</v>
      </c>
      <c r="E140" s="8" t="s">
        <v>98</v>
      </c>
      <c r="F140" s="93">
        <f>SUMIF(Tracker!$U$9:$U$425, E140, Tracker!$H$9:$H$425)+SUMIF(Tracker!$U$9:$U$425, E140, Tracker!$I$9:$I$425)</f>
        <v>7971.6149242565925</v>
      </c>
      <c r="G140" s="8">
        <f>SUMIF(Tracker!$U$9:$U$425, E140, Tracker!$J$9:$J$425)</f>
        <v>38.572330278660928</v>
      </c>
      <c r="H140" s="49">
        <f t="shared" si="4"/>
        <v>13.479122009466128</v>
      </c>
      <c r="I140" s="8">
        <f>H140*(21600/VLOOKUP(E140, Tracker!$U$9:$W$425, 3, FALSE))</f>
        <v>14.55745177022342</v>
      </c>
    </row>
    <row r="141" spans="1:9" ht="25" customHeight="1" x14ac:dyDescent="0.35">
      <c r="A141" s="8" t="s">
        <v>25</v>
      </c>
      <c r="B141" s="93">
        <f>SUMIF(Tracker!$U$9:$U$425, A141, Tracker!$H$9:$H$425)+SUMIF(Tracker!$U$9:$U$425, A141, Tracker!$I$9:$I$425)</f>
        <v>10954.740976248364</v>
      </c>
      <c r="C141" s="8">
        <f>SUMIF(Tracker!$U$9:$U$425, A141, Tracker!$J$9:$J$425)</f>
        <v>49.373480456330654</v>
      </c>
      <c r="E141" s="8" t="s">
        <v>97</v>
      </c>
      <c r="F141" s="93">
        <f>SUMIF(Tracker!$U$9:$U$425, E141, Tracker!$H$9:$H$425)+SUMIF(Tracker!$U$9:$U$425, E141, Tracker!$I$9:$I$425)</f>
        <v>7971.6149242565925</v>
      </c>
      <c r="G141" s="8">
        <f>SUMIF(Tracker!$U$9:$U$425, E141, Tracker!$J$9:$J$425)</f>
        <v>38.572330278660928</v>
      </c>
      <c r="H141" s="49">
        <f t="shared" si="4"/>
        <v>13.479122009466128</v>
      </c>
      <c r="I141" s="8">
        <f>H141*(21600/VLOOKUP(E141, Tracker!$U$9:$W$425, 3, FALSE))</f>
        <v>14.55745177022342</v>
      </c>
    </row>
    <row r="142" spans="1:9" ht="25" customHeight="1" x14ac:dyDescent="0.35">
      <c r="A142" s="8" t="s">
        <v>26</v>
      </c>
      <c r="B142" s="93">
        <f>SUMIF(Tracker!$U$9:$U$425, A142, Tracker!$H$9:$H$425)+SUMIF(Tracker!$U$9:$U$425, A142, Tracker!$I$9:$I$425)</f>
        <v>15352.066579390314</v>
      </c>
      <c r="C142" s="8">
        <f>SUMIF(Tracker!$U$9:$U$425, A142, Tracker!$J$9:$J$425)</f>
        <v>57.859547409762484</v>
      </c>
      <c r="E142" s="8" t="s">
        <v>37</v>
      </c>
      <c r="F142" s="93">
        <f>SUMIF(Tracker!$U$9:$U$425, E142, Tracker!$H$9:$H$425)+SUMIF(Tracker!$U$9:$U$425, E142, Tracker!$I$9:$I$425)</f>
        <v>13260</v>
      </c>
      <c r="G142" s="8">
        <f>SUMIF(Tracker!$U$9:$U$425, E142, Tracker!$J$9:$J$425)</f>
        <v>14.3</v>
      </c>
      <c r="H142" s="49">
        <f t="shared" si="4"/>
        <v>12.923809523809524</v>
      </c>
      <c r="I142" s="8">
        <f>H142*(21600/VLOOKUP(E142, Tracker!$U$9:$W$425, 3, FALSE))</f>
        <v>8.4592207792207788</v>
      </c>
    </row>
    <row r="143" spans="1:9" ht="25" customHeight="1" x14ac:dyDescent="0.35">
      <c r="A143" s="8" t="s">
        <v>96</v>
      </c>
      <c r="B143" s="93">
        <f>SUMIF(Tracker!$U$9:$U$425, A143, Tracker!$H$9:$H$425)+SUMIF(Tracker!$U$9:$U$425, A143, Tracker!$I$9:$I$425)</f>
        <v>10628.819899008789</v>
      </c>
      <c r="C143" s="8">
        <f>SUMIF(Tracker!$U$9:$U$425, A143, Tracker!$J$9:$J$425)</f>
        <v>51.429773704881242</v>
      </c>
      <c r="E143" s="8" t="s">
        <v>39</v>
      </c>
      <c r="F143" s="93">
        <f>SUMIF(Tracker!$U$9:$U$425, E143, Tracker!$H$9:$H$425)+SUMIF(Tracker!$U$9:$U$425, E143, Tracker!$I$9:$I$425)</f>
        <v>8060</v>
      </c>
      <c r="G143" s="8">
        <f>SUMIF(Tracker!$U$9:$U$425, E143, Tracker!$J$9:$J$425)</f>
        <v>14.3</v>
      </c>
      <c r="H143" s="49">
        <f t="shared" si="4"/>
        <v>8.9238095238095241</v>
      </c>
      <c r="I143" s="8">
        <f>H143*(21600/VLOOKUP(E143, Tracker!$U$9:$W$425, 3, FALSE))</f>
        <v>5.8410389610389615</v>
      </c>
    </row>
    <row r="144" spans="1:9" ht="25" customHeight="1" x14ac:dyDescent="0.35">
      <c r="A144" s="8" t="s">
        <v>54</v>
      </c>
      <c r="B144" s="93">
        <f>SUMIF(Tracker!$U$9:$U$425, A144, Tracker!$H$9:$H$425)+SUMIF(Tracker!$U$9:$U$425, A144, Tracker!$I$9:$I$425)</f>
        <v>10447.503272863287</v>
      </c>
      <c r="C144" s="8">
        <f>SUMIF(Tracker!$U$9:$U$425, A144, Tracker!$J$9:$J$425)</f>
        <v>47.087338694595097</v>
      </c>
      <c r="E144" s="8" t="s">
        <v>261</v>
      </c>
      <c r="F144" s="93">
        <f>SUMIF(Tracker!$U$9:$U$425, E144, Tracker!$H$9:$H$425)+SUMIF(Tracker!$U$9:$U$425, E144, Tracker!$I$9:$I$425)</f>
        <v>642.88386010847205</v>
      </c>
      <c r="G144" s="8">
        <f>SUMIF(Tracker!$U$9:$U$425, E144, Tracker!$J$9:$J$425)</f>
        <v>0</v>
      </c>
      <c r="H144" s="49">
        <f t="shared" si="4"/>
        <v>0.49452604623728624</v>
      </c>
      <c r="I144" s="8">
        <f>H144*(21600/VLOOKUP(E144, Tracker!$U$9:$W$425, 3, FALSE))</f>
        <v>0.5340881299362692</v>
      </c>
    </row>
    <row r="145" spans="1:9" ht="25" customHeight="1" x14ac:dyDescent="0.35">
      <c r="A145" s="8" t="s">
        <v>91</v>
      </c>
      <c r="B145" s="93">
        <f>SUMIF(Tracker!$U$9:$U$425, A145, Tracker!$H$9:$H$425)+SUMIF(Tracker!$U$9:$U$425, A145, Tracker!$I$9:$I$425)</f>
        <v>8400.1963717972703</v>
      </c>
      <c r="C145" s="8">
        <f>SUMIF(Tracker!$U$9:$U$425, A145, Tracker!$J$9:$J$425)</f>
        <v>38.572330278660928</v>
      </c>
      <c r="E145" s="8" t="s">
        <v>43</v>
      </c>
      <c r="F145" s="93">
        <f>SUMIF(Tracker!$U$9:$U$425, E145, Tracker!$H$9:$H$425)+SUMIF(Tracker!$U$9:$U$425, E145, Tracker!$I$9:$I$425)</f>
        <v>9781.4381896390496</v>
      </c>
      <c r="G145" s="8">
        <f>SUMIF(Tracker!$U$9:$U$425, E145, Tracker!$J$9:$J$425)</f>
        <v>20.78964840097251</v>
      </c>
      <c r="H145" s="49">
        <f t="shared" si="4"/>
        <v>11.484116251555939</v>
      </c>
      <c r="I145" s="8">
        <f>H145*(21600/VLOOKUP(E145, Tracker!$U$9:$W$425, 3, FALSE))</f>
        <v>11.484116251555939</v>
      </c>
    </row>
    <row r="146" spans="1:9" ht="25" customHeight="1" x14ac:dyDescent="0.35">
      <c r="A146" s="8" t="s">
        <v>39</v>
      </c>
      <c r="B146" s="93">
        <f>SUMIF(Tracker!$U$9:$U$425, A146, Tracker!$H$9:$H$425)+SUMIF(Tracker!$U$9:$U$425, A146, Tracker!$I$9:$I$425)</f>
        <v>8060</v>
      </c>
      <c r="C146" s="8">
        <f>SUMIF(Tracker!$U$9:$U$425, A146, Tracker!$J$9:$J$425)</f>
        <v>14.3</v>
      </c>
      <c r="E146" s="8" t="s">
        <v>11</v>
      </c>
      <c r="F146" s="93">
        <f>SUMIF(Tracker!$U$9:$U$425, E146, Tracker!$H$9:$H$425)+SUMIF(Tracker!$U$9:$U$425, E146, Tracker!$I$9:$I$425)</f>
        <v>0</v>
      </c>
      <c r="G146" s="8">
        <f>SUMIF(Tracker!$U$9:$U$425, E146, Tracker!$J$9:$J$425)</f>
        <v>0</v>
      </c>
      <c r="H146" s="49">
        <f t="shared" si="4"/>
        <v>0</v>
      </c>
      <c r="I146" s="8">
        <f>H146*(21600/VLOOKUP(E146, Tracker!$U$9:$W$425, 3, FALSE))</f>
        <v>0</v>
      </c>
    </row>
    <row r="147" spans="1:9" ht="25" customHeight="1" x14ac:dyDescent="0.35">
      <c r="A147" s="8" t="s">
        <v>98</v>
      </c>
      <c r="B147" s="93">
        <f>SUMIF(Tracker!$U$9:$U$425, A147, Tracker!$H$9:$H$425)+SUMIF(Tracker!$U$9:$U$425, A147, Tracker!$I$9:$I$425)</f>
        <v>7971.6149242565925</v>
      </c>
      <c r="C147" s="8">
        <f>SUMIF(Tracker!$U$9:$U$425, A147, Tracker!$J$9:$J$425)</f>
        <v>38.572330278660928</v>
      </c>
      <c r="E147" s="8" t="s">
        <v>57</v>
      </c>
      <c r="F147" s="93">
        <f>SUMIF(Tracker!$U$9:$U$425, E147, Tracker!$H$9:$H$425)+SUMIF(Tracker!$U$9:$U$425, E147, Tracker!$I$9:$I$425)</f>
        <v>0</v>
      </c>
      <c r="G147" s="8">
        <f>SUMIF(Tracker!$U$9:$U$425, E147, Tracker!$J$9:$J$425)</f>
        <v>0</v>
      </c>
      <c r="H147" s="49">
        <f t="shared" si="4"/>
        <v>0</v>
      </c>
      <c r="I147" s="8">
        <f>H147*(21600/VLOOKUP(E147, Tracker!$U$9:$W$425, 3, FALSE))</f>
        <v>0</v>
      </c>
    </row>
    <row r="148" spans="1:9" ht="25" customHeight="1" x14ac:dyDescent="0.35">
      <c r="A148" s="8" t="s">
        <v>97</v>
      </c>
      <c r="B148" s="93">
        <f>SUMIF(Tracker!$U$9:$U$425, A148, Tracker!$H$9:$H$425)+SUMIF(Tracker!$U$9:$U$425, A148, Tracker!$I$9:$I$425)</f>
        <v>7971.6149242565925</v>
      </c>
      <c r="C148" s="8">
        <f>SUMIF(Tracker!$U$9:$U$425, A148, Tracker!$J$9:$J$425)</f>
        <v>38.572330278660928</v>
      </c>
      <c r="E148" s="8" t="s">
        <v>48</v>
      </c>
      <c r="F148" s="93">
        <f>SUMIF(Tracker!$U$9:$U$425, E148, Tracker!$H$9:$H$425)+SUMIF(Tracker!$U$9:$U$425, E148, Tracker!$I$9:$I$425)</f>
        <v>20085.692911913222</v>
      </c>
      <c r="G148" s="8">
        <f>SUMIF(Tracker!$U$9:$U$425, E148, Tracker!$J$9:$J$425)</f>
        <v>91.967458387881052</v>
      </c>
      <c r="H148" s="49">
        <f t="shared" si="4"/>
        <v>32.968144130665166</v>
      </c>
      <c r="I148" s="8">
        <f>H148*(21600/VLOOKUP(E148, Tracker!$U$9:$W$425, 3, FALSE))</f>
        <v>39.561772956798201</v>
      </c>
    </row>
    <row r="149" spans="1:9" ht="25" customHeight="1" x14ac:dyDescent="0.35">
      <c r="A149" s="8" t="s">
        <v>15</v>
      </c>
      <c r="B149" s="93">
        <f>SUMIF(Tracker!$U$9:$U$425, A149, Tracker!$H$9:$H$425)+SUMIF(Tracker!$U$9:$U$425, A149, Tracker!$I$9:$I$425)</f>
        <v>7303.160650832242</v>
      </c>
      <c r="C149" s="8">
        <f>SUMIF(Tracker!$U$9:$U$425, A149, Tracker!$J$9:$J$425)</f>
        <v>32.915653637553767</v>
      </c>
      <c r="E149" s="8" t="s">
        <v>51</v>
      </c>
      <c r="F149" s="93">
        <f>SUMIF(Tracker!$U$9:$U$425, E149, Tracker!$H$9:$H$425)+SUMIF(Tracker!$U$9:$U$425, E149, Tracker!$I$9:$I$425)</f>
        <v>22007.934355713485</v>
      </c>
      <c r="G149" s="8">
        <f>SUMIF(Tracker!$U$9:$U$425, E149, Tracker!$J$9:$J$425)</f>
        <v>84.503039087338692</v>
      </c>
      <c r="H149" s="49">
        <f t="shared" si="4"/>
        <v>33.024997242642648</v>
      </c>
      <c r="I149" s="8">
        <f>H149*(21600/VLOOKUP(E149, Tracker!$U$9:$W$425, 3, FALSE))</f>
        <v>35.666997022054062</v>
      </c>
    </row>
    <row r="150" spans="1:9" ht="25" customHeight="1" x14ac:dyDescent="0.35">
      <c r="A150" s="8" t="s">
        <v>43</v>
      </c>
      <c r="B150" s="93">
        <f>SUMIF(Tracker!$U$9:$U$425, A150, Tracker!$H$9:$H$425)+SUMIF(Tracker!$U$9:$U$425, A150, Tracker!$I$9:$I$425)</f>
        <v>9781.4381896390496</v>
      </c>
      <c r="C150" s="8">
        <f>SUMIF(Tracker!$U$9:$U$425, A150, Tracker!$J$9:$J$425)</f>
        <v>20.78964840097251</v>
      </c>
      <c r="E150" s="8" t="s">
        <v>91</v>
      </c>
      <c r="F150" s="93">
        <f>SUMIF(Tracker!$U$9:$U$425, E150, Tracker!$H$9:$H$425)+SUMIF(Tracker!$U$9:$U$425, E150, Tracker!$I$9:$I$425)</f>
        <v>8400.1963717972703</v>
      </c>
      <c r="G150" s="8">
        <f>SUMIF(Tracker!$U$9:$U$425, E150, Tracker!$J$9:$J$425)</f>
        <v>38.572330278660928</v>
      </c>
      <c r="H150" s="49">
        <f t="shared" si="4"/>
        <v>13.808800046035879</v>
      </c>
      <c r="I150" s="8">
        <f>H150*(21600/VLOOKUP(E150, Tracker!$U$9:$W$425, 3, FALSE))</f>
        <v>14.91350404971875</v>
      </c>
    </row>
    <row r="151" spans="1:9" ht="25" customHeight="1" x14ac:dyDescent="0.35">
      <c r="A151" s="8" t="s">
        <v>261</v>
      </c>
      <c r="B151" s="93">
        <f>SUMIF(Tracker!$U$9:$U$425, A151, Tracker!$H$9:$H$425)+SUMIF(Tracker!$U$9:$U$425, A151, Tracker!$I$9:$I$425)</f>
        <v>642.88386010847205</v>
      </c>
      <c r="C151" s="8">
        <f>SUMIF(Tracker!$U$9:$U$425, A151, Tracker!$J$9:$J$425)</f>
        <v>0</v>
      </c>
      <c r="E151" s="8" t="s">
        <v>44</v>
      </c>
      <c r="F151" s="93">
        <f>SUMIF(Tracker!$U$9:$U$425, E151, Tracker!$H$9:$H$425)+SUMIF(Tracker!$U$9:$U$425, E151, Tracker!$I$9:$I$425)</f>
        <v>0</v>
      </c>
      <c r="G151" s="8">
        <f>SUMIF(Tracker!$U$9:$U$425, E151, Tracker!$J$9:$J$425)</f>
        <v>0</v>
      </c>
      <c r="H151" s="49">
        <f t="shared" si="4"/>
        <v>0</v>
      </c>
      <c r="I151" s="8">
        <f>H151*(21600/VLOOKUP(E151, Tracker!$U$9:$W$425, 3, FALSE))</f>
        <v>0</v>
      </c>
    </row>
    <row r="152" spans="1:9" ht="25" customHeight="1" x14ac:dyDescent="0.35">
      <c r="A152" s="8" t="s">
        <v>11</v>
      </c>
      <c r="B152" s="93">
        <f>SUMIF(Tracker!$U$9:$U$425, A152, Tracker!$H$9:$H$425)+SUMIF(Tracker!$U$9:$U$425, A152, Tracker!$I$9:$I$425)</f>
        <v>0</v>
      </c>
      <c r="C152" s="8">
        <f>SUMIF(Tracker!$U$9:$U$425, A152, Tracker!$J$9:$J$425)</f>
        <v>0</v>
      </c>
      <c r="E152" s="8" t="s">
        <v>54</v>
      </c>
      <c r="F152" s="93">
        <f>SUMIF(Tracker!$U$9:$U$425, E152, Tracker!$H$9:$H$425)+SUMIF(Tracker!$U$9:$U$425, E152, Tracker!$I$9:$I$425)</f>
        <v>10447.503272863287</v>
      </c>
      <c r="G152" s="8">
        <f>SUMIF(Tracker!$U$9:$U$425, E152, Tracker!$J$9:$J$425)</f>
        <v>47.087338694595097</v>
      </c>
      <c r="H152" s="49">
        <f t="shared" si="4"/>
        <v>17.005557873334194</v>
      </c>
      <c r="I152" s="8">
        <f>H152*(21600/VLOOKUP(E152, Tracker!$U$9:$W$425, 3, FALSE))</f>
        <v>20.406669448001033</v>
      </c>
    </row>
    <row r="153" spans="1:9" ht="25" customHeight="1" x14ac:dyDescent="0.35">
      <c r="A153" s="8" t="s">
        <v>57</v>
      </c>
      <c r="B153" s="93">
        <f>SUMIF(Tracker!$U$9:$U$425, A153, Tracker!$H$9:$H$425)+SUMIF(Tracker!$U$9:$U$425, A153, Tracker!$I$9:$I$425)</f>
        <v>0</v>
      </c>
      <c r="C153" s="8">
        <f>SUMIF(Tracker!$U$9:$U$425, A153, Tracker!$J$9:$J$425)</f>
        <v>0</v>
      </c>
      <c r="E153" s="8" t="s">
        <v>66</v>
      </c>
      <c r="F153" s="93">
        <f>SUMIF(Tracker!$U$9:$U$425, E153, Tracker!$H$9:$H$425)+SUMIF(Tracker!$U$9:$U$425, E153, Tracker!$I$9:$I$425)</f>
        <v>0</v>
      </c>
      <c r="G153" s="8">
        <f>SUMIF(Tracker!$U$9:$U$425, E153, Tracker!$J$9:$J$425)</f>
        <v>0</v>
      </c>
      <c r="H153" s="49">
        <f t="shared" si="4"/>
        <v>0</v>
      </c>
      <c r="I153" s="8">
        <f>H153*(21600/VLOOKUP(E153, Tracker!$U$9:$W$425, 3, FALSE))</f>
        <v>0</v>
      </c>
    </row>
    <row r="154" spans="1:9" ht="25" customHeight="1" x14ac:dyDescent="0.35">
      <c r="A154" s="8" t="s">
        <v>44</v>
      </c>
      <c r="B154" s="93">
        <f>SUMIF(Tracker!$U$9:$U$425, A154, Tracker!$H$9:$H$425)+SUMIF(Tracker!$U$9:$U$425, A154, Tracker!$I$9:$I$425)</f>
        <v>0</v>
      </c>
      <c r="C154" s="8">
        <f>SUMIF(Tracker!$U$9:$U$425, A154, Tracker!$J$9:$J$425)</f>
        <v>0</v>
      </c>
      <c r="E154" s="8" t="s">
        <v>67</v>
      </c>
      <c r="F154" s="93">
        <f>SUMIF(Tracker!$U$9:$U$425, E154, Tracker!$H$9:$H$425)+SUMIF(Tracker!$U$9:$U$425, E154, Tracker!$I$9:$I$425)</f>
        <v>0</v>
      </c>
      <c r="G154" s="8">
        <f>SUMIF(Tracker!$U$9:$U$425, E154, Tracker!$J$9:$J$425)</f>
        <v>0</v>
      </c>
      <c r="H154" s="49">
        <f t="shared" si="4"/>
        <v>0</v>
      </c>
      <c r="I154" s="8">
        <f>H154*(21600/VLOOKUP(E154, Tracker!$U$9:$W$425, 3, FALSE))</f>
        <v>0</v>
      </c>
    </row>
    <row r="155" spans="1:9" ht="25" customHeight="1" x14ac:dyDescent="0.35">
      <c r="A155" s="8" t="s">
        <v>66</v>
      </c>
      <c r="B155" s="93">
        <f>SUMIF(Tracker!$U$9:$U$425, A155, Tracker!$H$9:$H$425)+SUMIF(Tracker!$U$9:$U$425, A155, Tracker!$I$9:$I$425)</f>
        <v>0</v>
      </c>
      <c r="C155" s="8">
        <f>SUMIF(Tracker!$U$9:$U$425, A155, Tracker!$J$9:$J$425)</f>
        <v>0</v>
      </c>
      <c r="E155" s="8" t="s">
        <v>74</v>
      </c>
      <c r="F155" s="93">
        <f>SUMIF(Tracker!$U$9:$U$425, E155, Tracker!$H$9:$H$425)+SUMIF(Tracker!$U$9:$U$425, E155, Tracker!$I$9:$I$425)</f>
        <v>0</v>
      </c>
      <c r="G155" s="8">
        <f>SUMIF(Tracker!$U$9:$U$425, E155, Tracker!$J$9:$J$425)</f>
        <v>0</v>
      </c>
      <c r="H155" s="49">
        <f t="shared" si="4"/>
        <v>0</v>
      </c>
      <c r="I155" s="8">
        <f>H155*(21600/VLOOKUP(E155, Tracker!$U$9:$W$425, 3, FALSE))</f>
        <v>0</v>
      </c>
    </row>
    <row r="156" spans="1:9" ht="25" customHeight="1" x14ac:dyDescent="0.35">
      <c r="A156" s="8" t="s">
        <v>67</v>
      </c>
      <c r="B156" s="93">
        <f>SUMIF(Tracker!$U$9:$U$425, A156, Tracker!$H$9:$H$425)+SUMIF(Tracker!$U$9:$U$425, A156, Tracker!$I$9:$I$425)</f>
        <v>0</v>
      </c>
      <c r="C156" s="8">
        <f>SUMIF(Tracker!$U$9:$U$425, A156, Tracker!$J$9:$J$425)</f>
        <v>0</v>
      </c>
      <c r="E156" s="8" t="s">
        <v>75</v>
      </c>
      <c r="F156" s="93">
        <f>SUMIF(Tracker!$U$9:$U$425, E156, Tracker!$H$9:$H$425)+SUMIF(Tracker!$U$9:$U$425, E156, Tracker!$I$9:$I$425)</f>
        <v>12171.713110155226</v>
      </c>
      <c r="G156" s="8">
        <f>SUMIF(Tracker!$U$9:$U$425, E156, Tracker!$J$9:$J$425)</f>
        <v>54.858425285206657</v>
      </c>
      <c r="H156" s="49">
        <f t="shared" si="4"/>
        <v>19.812080102429832</v>
      </c>
      <c r="I156" s="8">
        <f>H156*(21600/VLOOKUP(E156, Tracker!$U$9:$W$425, 3, FALSE))</f>
        <v>21.397046510624218</v>
      </c>
    </row>
    <row r="157" spans="1:9" ht="25" customHeight="1" x14ac:dyDescent="0.35">
      <c r="A157" s="8" t="s">
        <v>74</v>
      </c>
      <c r="B157" s="93">
        <f>SUMIF(Tracker!$U$9:$U$425, A157, Tracker!$H$9:$H$425)+SUMIF(Tracker!$U$9:$U$425, A157, Tracker!$I$9:$I$425)</f>
        <v>0</v>
      </c>
      <c r="C157" s="8">
        <f>SUMIF(Tracker!$U$9:$U$425, A157, Tracker!$J$9:$J$425)</f>
        <v>0</v>
      </c>
      <c r="E157" s="8" t="s">
        <v>79</v>
      </c>
      <c r="F157" s="93">
        <f>SUMIF(Tracker!$U$9:$U$425, E157, Tracker!$H$9:$H$425)+SUMIF(Tracker!$U$9:$U$425, E157, Tracker!$I$9:$I$425)</f>
        <v>21543.631943145687</v>
      </c>
      <c r="G157" s="8">
        <f>SUMIF(Tracker!$U$9:$U$425, E157, Tracker!$J$9:$J$425)</f>
        <v>96.574901814101366</v>
      </c>
      <c r="H157" s="49">
        <f t="shared" si="4"/>
        <v>34.967243964812695</v>
      </c>
      <c r="I157" s="8">
        <f>H157*(21600/VLOOKUP(E157, Tracker!$U$9:$W$425, 3, FALSE))</f>
        <v>37.764623481997717</v>
      </c>
    </row>
    <row r="158" spans="1:9" ht="25" customHeight="1" x14ac:dyDescent="0.35">
      <c r="A158" s="8" t="s">
        <v>99</v>
      </c>
      <c r="B158" s="93">
        <f>SUMIF(Tracker!$U$9:$U$425, A158, Tracker!$H$9:$H$425)+SUMIF(Tracker!$U$9:$U$425, A158, Tracker!$I$9:$I$425)</f>
        <v>0</v>
      </c>
      <c r="C158" s="8">
        <f>SUMIF(Tracker!$U$9:$U$425, A158, Tracker!$J$9:$J$425)</f>
        <v>0</v>
      </c>
      <c r="E158" s="8" t="s">
        <v>99</v>
      </c>
      <c r="F158" s="93">
        <f>SUMIF(Tracker!$U$9:$U$425, E158, Tracker!$H$9:$H$425)+SUMIF(Tracker!$U$9:$U$425, E158, Tracker!$I$9:$I$425)</f>
        <v>0</v>
      </c>
      <c r="G158" s="8">
        <f>SUMIF(Tracker!$U$9:$U$425, E158, Tracker!$J$9:$J$425)</f>
        <v>0</v>
      </c>
      <c r="H158" s="49">
        <f t="shared" ref="H158:H159" si="5">80*((F158/52000)+(G158/210))/2</f>
        <v>0</v>
      </c>
      <c r="I158" s="8">
        <f>H158*(21600/VLOOKUP(E158, Tracker!$U$9:$W$425, 3, FALSE))</f>
        <v>0</v>
      </c>
    </row>
    <row r="159" spans="1:9" ht="25" customHeight="1" x14ac:dyDescent="0.35">
      <c r="A159" s="8" t="s">
        <v>92</v>
      </c>
      <c r="B159" s="93">
        <f>SUMIF(Tracker!$U$9:$U$425, A159, Tracker!$H$9:$H$425)+SUMIF(Tracker!$U$9:$U$425, A159, Tracker!$I$9:$I$425)</f>
        <v>0</v>
      </c>
      <c r="C159" s="8">
        <f>SUMIF(Tracker!$U$9:$U$425, A159, Tracker!$J$9:$J$425)</f>
        <v>0</v>
      </c>
      <c r="E159" s="8" t="s">
        <v>92</v>
      </c>
      <c r="F159" s="93">
        <f>SUMIF(Tracker!$U$9:$U$425, E159, Tracker!$H$9:$H$425)+SUMIF(Tracker!$U$9:$U$425, E159, Tracker!$I$9:$I$425)</f>
        <v>0</v>
      </c>
      <c r="G159" s="8">
        <f>SUMIF(Tracker!$U$9:$U$425, E159, Tracker!$J$9:$J$425)</f>
        <v>0</v>
      </c>
      <c r="H159" s="49">
        <f t="shared" si="5"/>
        <v>0</v>
      </c>
      <c r="I159" s="8">
        <f>H159*(21600/VLOOKUP(E159, Tracker!$U$9:$W$425, 3, FALSE))</f>
        <v>0</v>
      </c>
    </row>
    <row r="160" spans="1:9" ht="25" customHeight="1" x14ac:dyDescent="0.35">
      <c r="A160" s="8" t="s">
        <v>292</v>
      </c>
      <c r="B160" s="93">
        <f>SUMIF(Tracker!$U$9:$U$425, A160, Tracker!$H$9:$H$425)+SUMIF(Tracker!$U$9:$U$425, A160, Tracker!$I$9:$I$425)</f>
        <v>0</v>
      </c>
      <c r="C160" s="8">
        <f>SUMIF(Tracker!$U$9:$U$425, A160, Tracker!$J$9:$J$425)</f>
        <v>0</v>
      </c>
      <c r="E160" s="8" t="s">
        <v>292</v>
      </c>
      <c r="F160" s="93">
        <f>SUMIF(Tracker!$U$9:$U$425, E160, Tracker!$H$9:$H$425)+SUMIF(Tracker!$U$9:$U$425, E160, Tracker!$I$9:$I$425)</f>
        <v>0</v>
      </c>
      <c r="G160" s="8">
        <f>SUMIF(Tracker!$U$9:$U$425, E160, Tracker!$J$9:$J$425)</f>
        <v>0</v>
      </c>
      <c r="H160" s="49">
        <f t="shared" ref="H160:H161" si="6">80*((F160/52000)+(G160/210))/2</f>
        <v>0</v>
      </c>
      <c r="I160" s="8">
        <f>H160*(21600/VLOOKUP(E160, Tracker!$U$9:$W$425, 3, FALSE))</f>
        <v>0</v>
      </c>
    </row>
    <row r="161" spans="1:9" ht="25" customHeight="1" x14ac:dyDescent="0.35">
      <c r="A161" s="8" t="s">
        <v>291</v>
      </c>
      <c r="B161" s="93">
        <f>SUMIF(Tracker!$U$9:$U$425, A161, Tracker!$H$9:$H$425)+SUMIF(Tracker!$U$9:$U$425, A161, Tracker!$I$9:$I$425)</f>
        <v>0</v>
      </c>
      <c r="C161" s="8">
        <f>SUMIF(Tracker!$U$9:$U$425, A161, Tracker!$J$9:$J$425)</f>
        <v>0</v>
      </c>
      <c r="E161" s="8" t="s">
        <v>291</v>
      </c>
      <c r="F161" s="93">
        <f>SUMIF(Tracker!$U$9:$U$425, E161, Tracker!$H$9:$H$425)+SUMIF(Tracker!$U$9:$U$425, E161, Tracker!$I$9:$I$425)</f>
        <v>0</v>
      </c>
      <c r="G161" s="8">
        <f>SUMIF(Tracker!$U$9:$U$425, E161, Tracker!$J$9:$J$425)</f>
        <v>0</v>
      </c>
      <c r="H161" s="49">
        <f t="shared" si="6"/>
        <v>0</v>
      </c>
      <c r="I161" s="8">
        <f>H161*(21600/VLOOKUP(E161, Tracker!$U$9:$W$425, 3, FALSE))</f>
        <v>0</v>
      </c>
    </row>
  </sheetData>
  <sortState xmlns:xlrd2="http://schemas.microsoft.com/office/spreadsheetml/2017/richdata2" ref="A93:C159">
    <sortCondition descending="1" ref="B93:B159"/>
  </sortState>
  <mergeCells count="5">
    <mergeCell ref="B17:C17"/>
    <mergeCell ref="D17:D18"/>
    <mergeCell ref="D19:D20"/>
    <mergeCell ref="E17:E18"/>
    <mergeCell ref="E19:E20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C2" sqref="C2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31">
        <f>Summary!C18</f>
        <v>1324152.780063587</v>
      </c>
      <c r="B1" s="132">
        <f>Summary!C19</f>
        <v>5122.8096502711796</v>
      </c>
      <c r="C1" s="134">
        <f>Summary!C20</f>
        <v>12</v>
      </c>
      <c r="D1" s="133">
        <f>Summary!J4</f>
        <v>0.97101449275362317</v>
      </c>
      <c r="E1" s="118">
        <f>Summary!J3</f>
        <v>0.58213744736722906</v>
      </c>
      <c r="F1" s="8">
        <f>Tracker!AE103</f>
        <v>16534682.266666668</v>
      </c>
      <c r="G1" s="135">
        <f>Summary!J5</f>
        <v>8.008335199358696E-2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9"/>
  <sheetViews>
    <sheetView workbookViewId="0">
      <selection activeCell="G1" sqref="G1:J12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tr">
        <f>Summary!A93</f>
        <v>BOS Defiance</v>
      </c>
      <c r="B1" s="93">
        <f>Summary!B93</f>
        <v>59087.095567608005</v>
      </c>
      <c r="C1" s="8">
        <f>Summary!C93</f>
        <v>228.57677202169441</v>
      </c>
      <c r="D1" s="8" t="s">
        <v>125</v>
      </c>
      <c r="E1" s="113">
        <f>Summary!F22</f>
        <v>360133.57490181411</v>
      </c>
      <c r="F1" s="93">
        <f>E1/23</f>
        <v>15657.981517470178</v>
      </c>
      <c r="G1" s="21" t="str">
        <f>Summary!A3</f>
        <v>MGPS</v>
      </c>
      <c r="H1" s="136">
        <f>Summary!C3</f>
        <v>47</v>
      </c>
      <c r="I1" s="136">
        <f>Summary!D3</f>
        <v>1</v>
      </c>
      <c r="J1" s="136">
        <f>Summary!E3</f>
        <v>64</v>
      </c>
      <c r="K1" s="24">
        <f>Summary!F3</f>
        <v>0.75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tr">
        <f>Summary!A94</f>
        <v>Britoil 81</v>
      </c>
      <c r="B2" s="93">
        <f>Summary!B94</f>
        <v>43658.163456143637</v>
      </c>
      <c r="C2" s="8">
        <f>Summary!C94</f>
        <v>182.86141761735553</v>
      </c>
      <c r="D2" s="8" t="s">
        <v>124</v>
      </c>
      <c r="E2" s="113">
        <f>Summary!D22</f>
        <v>309455.44697961473</v>
      </c>
      <c r="F2" s="93">
        <f>E2/16</f>
        <v>19340.965436225921</v>
      </c>
      <c r="G2" s="22" t="str">
        <f>Summary!A4</f>
        <v>Chlorinator</v>
      </c>
      <c r="H2" s="136">
        <f>Summary!C4</f>
        <v>0</v>
      </c>
      <c r="I2" s="136">
        <f>Summary!D4</f>
        <v>1</v>
      </c>
      <c r="J2" s="136">
        <f>Summary!E4</f>
        <v>2</v>
      </c>
      <c r="K2" s="25">
        <f>Summary!F4</f>
        <v>0.5</v>
      </c>
    </row>
    <row r="3" spans="1:17" x14ac:dyDescent="0.35">
      <c r="A3" s="8" t="str">
        <f>Summary!A95</f>
        <v>Britoil 41</v>
      </c>
      <c r="B3" s="93">
        <f>Summary!B95</f>
        <v>37960</v>
      </c>
      <c r="C3" s="8">
        <f>Summary!C95</f>
        <v>156</v>
      </c>
      <c r="D3" s="8" t="s">
        <v>123</v>
      </c>
      <c r="E3" s="113">
        <f>Summary!B22</f>
        <v>544563.75818215811</v>
      </c>
      <c r="F3" s="93">
        <f>E3/28</f>
        <v>19448.70564936279</v>
      </c>
      <c r="G3" s="22" t="str">
        <f>Summary!A5</f>
        <v>CMCE LP</v>
      </c>
      <c r="H3" s="136">
        <f>Summary!C5</f>
        <v>12</v>
      </c>
      <c r="I3" s="136">
        <f>Summary!D5</f>
        <v>1</v>
      </c>
      <c r="J3" s="136">
        <f>Summary!E5</f>
        <v>42</v>
      </c>
      <c r="K3" s="25">
        <f>Summary!F5</f>
        <v>0.30952380952380953</v>
      </c>
    </row>
    <row r="4" spans="1:17" x14ac:dyDescent="0.35">
      <c r="A4" s="8" t="str">
        <f>Summary!A96</f>
        <v>BOS Champion</v>
      </c>
      <c r="B4" s="93">
        <f>Summary!B96</f>
        <v>43830.14774639986</v>
      </c>
      <c r="C4" s="8">
        <f>Summary!C96</f>
        <v>185.72096502711801</v>
      </c>
      <c r="G4" s="22" t="str">
        <f>Summary!A6</f>
        <v>IWTM Filter</v>
      </c>
      <c r="H4" s="136">
        <f>Summary!C6</f>
        <v>21</v>
      </c>
      <c r="I4" s="136">
        <f>Summary!D6</f>
        <v>13</v>
      </c>
      <c r="J4" s="136">
        <f>Summary!E6</f>
        <v>61</v>
      </c>
      <c r="K4" s="25">
        <f>Summary!F6</f>
        <v>0.55737704918032782</v>
      </c>
    </row>
    <row r="5" spans="1:17" x14ac:dyDescent="0.35">
      <c r="A5" s="8" t="str">
        <f>Summary!A97</f>
        <v>Britoil Journey</v>
      </c>
      <c r="B5" s="93">
        <f>Summary!B97</f>
        <v>37000</v>
      </c>
      <c r="C5" s="8">
        <f>Summary!C97</f>
        <v>149</v>
      </c>
      <c r="G5" s="22" t="str">
        <f>Summary!A7</f>
        <v>LED lights</v>
      </c>
      <c r="H5" s="136">
        <f>Summary!C7</f>
        <v>25</v>
      </c>
      <c r="I5" s="136">
        <f>Summary!D7</f>
        <v>2</v>
      </c>
      <c r="J5" s="136">
        <f>Summary!E7</f>
        <v>68</v>
      </c>
      <c r="K5" s="25">
        <f>Summary!F7</f>
        <v>0.39705882352941174</v>
      </c>
    </row>
    <row r="6" spans="1:17" x14ac:dyDescent="0.35">
      <c r="A6" s="8" t="str">
        <f>Summary!A98</f>
        <v>BOS Princess</v>
      </c>
      <c r="B6" s="93">
        <f>Summary!B98</f>
        <v>34900</v>
      </c>
      <c r="C6" s="8">
        <f>Summary!C98</f>
        <v>175</v>
      </c>
      <c r="G6" s="22" t="str">
        <f>Summary!A8</f>
        <v>EFMS</v>
      </c>
      <c r="H6" s="136">
        <f>Summary!C8</f>
        <v>16</v>
      </c>
      <c r="I6" s="136">
        <f>Summary!D8</f>
        <v>1</v>
      </c>
      <c r="J6" s="136">
        <f>Summary!E8</f>
        <v>67</v>
      </c>
      <c r="K6" s="25">
        <f>Summary!F8</f>
        <v>0.2537313432835821</v>
      </c>
    </row>
    <row r="7" spans="1:17" x14ac:dyDescent="0.35">
      <c r="A7" s="8" t="str">
        <f>Summary!A99</f>
        <v>Britoil 72</v>
      </c>
      <c r="B7" s="93">
        <f>Summary!B99</f>
        <v>33502.898821769217</v>
      </c>
      <c r="C7" s="8">
        <f>Summary!C99</f>
        <v>153.5979053674958</v>
      </c>
      <c r="G7" s="22" t="str">
        <f>Summary!A9</f>
        <v>Deva Paint</v>
      </c>
      <c r="H7" s="136">
        <f>Summary!C9</f>
        <v>1</v>
      </c>
      <c r="I7" s="136">
        <f>Summary!D9</f>
        <v>0</v>
      </c>
      <c r="J7" s="136">
        <f>Summary!E9</f>
        <v>67</v>
      </c>
      <c r="K7" s="25">
        <f>Summary!F9</f>
        <v>1.4925373134328358E-2</v>
      </c>
    </row>
    <row r="8" spans="1:17" x14ac:dyDescent="0.35">
      <c r="A8" s="8" t="str">
        <f>Summary!A100</f>
        <v>BOS Ares</v>
      </c>
      <c r="B8" s="93">
        <f>Summary!B100</f>
        <v>30533.196184776505</v>
      </c>
      <c r="C8" s="8">
        <f>Summary!C100</f>
        <v>139.05479708247614</v>
      </c>
      <c r="G8" s="111" t="str">
        <f>Summary!A10</f>
        <v>AI CCTV</v>
      </c>
      <c r="H8" s="136">
        <f>Summary!C10</f>
        <v>4</v>
      </c>
      <c r="I8" s="136">
        <f>Summary!D10</f>
        <v>0</v>
      </c>
      <c r="J8" s="136">
        <f>Summary!E10</f>
        <v>5</v>
      </c>
      <c r="K8" s="25">
        <f>Summary!F10</f>
        <v>0.8</v>
      </c>
    </row>
    <row r="9" spans="1:17" x14ac:dyDescent="0.35">
      <c r="A9" s="8" t="str">
        <f>Summary!A101</f>
        <v>BOS Prince</v>
      </c>
      <c r="B9" s="93">
        <f>Summary!B101</f>
        <v>28900</v>
      </c>
      <c r="C9" s="8">
        <f>Summary!C101</f>
        <v>115</v>
      </c>
      <c r="G9" s="111" t="str">
        <f>Summary!A11</f>
        <v>Nautilus Log</v>
      </c>
      <c r="H9" s="136">
        <f>Summary!C11</f>
        <v>55</v>
      </c>
      <c r="I9" s="136">
        <f>Summary!D11</f>
        <v>0</v>
      </c>
      <c r="J9" s="136">
        <f>Summary!E11</f>
        <v>67</v>
      </c>
      <c r="K9" s="25">
        <f>Summary!F11</f>
        <v>0.82089552238805974</v>
      </c>
    </row>
    <row r="10" spans="1:17" x14ac:dyDescent="0.35">
      <c r="A10" s="8" t="str">
        <f>Summary!A102</f>
        <v>BOS Patience</v>
      </c>
      <c r="B10" s="93">
        <f>Summary!B102</f>
        <v>27529.105105666731</v>
      </c>
      <c r="C10" s="8">
        <f>Summary!C102</f>
        <v>127.68818963904994</v>
      </c>
      <c r="G10" s="94" t="str">
        <f>Summary!A12</f>
        <v>RE Conversion</v>
      </c>
      <c r="H10" s="136">
        <f>Summary!C12</f>
        <v>1</v>
      </c>
      <c r="I10" s="136">
        <f>Summary!D12</f>
        <v>0</v>
      </c>
      <c r="J10" s="136">
        <f>Summary!E12</f>
        <v>1</v>
      </c>
      <c r="K10" s="112">
        <f>Summary!F12</f>
        <v>1</v>
      </c>
    </row>
    <row r="11" spans="1:17" x14ac:dyDescent="0.35">
      <c r="A11" s="8" t="str">
        <f>Summary!A103</f>
        <v>BOS Patriot</v>
      </c>
      <c r="B11" s="93">
        <f>Summary!B103</f>
        <v>27529.105105666731</v>
      </c>
      <c r="C11" s="8">
        <f>Summary!C103</f>
        <v>127.68818963904994</v>
      </c>
      <c r="G11" t="str">
        <f>Summary!A13</f>
        <v>Silicon Hempel X7</v>
      </c>
      <c r="H11" s="209">
        <f>Summary!C13</f>
        <v>0</v>
      </c>
      <c r="I11" s="209">
        <f>Summary!D13</f>
        <v>0</v>
      </c>
      <c r="J11" s="209">
        <f>Summary!E13</f>
        <v>6</v>
      </c>
      <c r="K11" s="208">
        <f>Summary!F13</f>
        <v>0</v>
      </c>
    </row>
    <row r="12" spans="1:17" x14ac:dyDescent="0.35">
      <c r="A12" s="8" t="str">
        <f>Summary!A104</f>
        <v>BOS Pride</v>
      </c>
      <c r="B12" s="93">
        <f>Summary!B104</f>
        <v>33943.650645221613</v>
      </c>
      <c r="C12" s="8">
        <f>Summary!C104</f>
        <v>137.14606321301665</v>
      </c>
      <c r="G12" t="str">
        <f>Summary!A14</f>
        <v>IOW Separator</v>
      </c>
      <c r="H12" s="209">
        <f>Summary!C14</f>
        <v>0</v>
      </c>
      <c r="I12" s="209">
        <f>Summary!D14</f>
        <v>1</v>
      </c>
      <c r="J12" s="209">
        <f>Summary!E14</f>
        <v>1</v>
      </c>
      <c r="K12" s="208">
        <f>Summary!F14</f>
        <v>1</v>
      </c>
    </row>
    <row r="13" spans="1:17" x14ac:dyDescent="0.35">
      <c r="A13" s="8" t="str">
        <f>Summary!A105</f>
        <v>Britoil Justice</v>
      </c>
      <c r="B13" s="93">
        <f>Summary!B105</f>
        <v>27700</v>
      </c>
      <c r="C13" s="8">
        <f>Summary!C105</f>
        <v>104</v>
      </c>
    </row>
    <row r="14" spans="1:17" x14ac:dyDescent="0.35">
      <c r="A14" s="8" t="str">
        <f>Summary!A106</f>
        <v>BOS Prudence</v>
      </c>
      <c r="B14" s="93">
        <f>Summary!B106</f>
        <v>27248.803067140452</v>
      </c>
      <c r="C14" s="8">
        <f>Summary!C106</f>
        <v>108.42949317374227</v>
      </c>
    </row>
    <row r="15" spans="1:17" x14ac:dyDescent="0.35">
      <c r="A15" s="8" t="str">
        <f>Summary!A107</f>
        <v>Britoil 60</v>
      </c>
      <c r="B15" s="93">
        <f>Summary!B107</f>
        <v>25870</v>
      </c>
      <c r="C15" s="8">
        <f>Summary!C107</f>
        <v>97.5</v>
      </c>
    </row>
    <row r="16" spans="1:17" x14ac:dyDescent="0.35">
      <c r="A16" s="8" t="str">
        <f>Summary!A108</f>
        <v>Britoil 61</v>
      </c>
      <c r="B16" s="93">
        <f>Summary!B108</f>
        <v>25870</v>
      </c>
      <c r="C16" s="8">
        <f>Summary!C108</f>
        <v>97.5</v>
      </c>
    </row>
    <row r="17" spans="1:3" x14ac:dyDescent="0.35">
      <c r="A17" s="8" t="str">
        <f>Summary!A109</f>
        <v>Britoil 74</v>
      </c>
      <c r="B17" s="93">
        <f>Summary!B109</f>
        <v>24399.873760987466</v>
      </c>
      <c r="C17" s="8">
        <f>Summary!C109</f>
        <v>113.17388255096316</v>
      </c>
    </row>
    <row r="18" spans="1:3" x14ac:dyDescent="0.35">
      <c r="A18" s="8" t="str">
        <f>Summary!A110</f>
        <v>Britoil 70</v>
      </c>
      <c r="B18" s="93">
        <f>Summary!B110</f>
        <v>24225.172994202356</v>
      </c>
      <c r="C18" s="8">
        <f>Summary!C110</f>
        <v>112.36356835608753</v>
      </c>
    </row>
    <row r="19" spans="1:3" x14ac:dyDescent="0.35">
      <c r="A19" s="8" t="str">
        <f>Summary!A111</f>
        <v>Britoil Discovery</v>
      </c>
      <c r="B19" s="93">
        <f>Summary!B111</f>
        <v>24000</v>
      </c>
      <c r="C19" s="8">
        <f>Summary!C111</f>
        <v>109</v>
      </c>
    </row>
    <row r="20" spans="1:3" x14ac:dyDescent="0.35">
      <c r="A20" s="8" t="str">
        <f>Summary!A112</f>
        <v>Britoil 82</v>
      </c>
      <c r="B20" s="93">
        <f>Summary!B112</f>
        <v>23314.830746212829</v>
      </c>
      <c r="C20" s="8">
        <f>Summary!C112</f>
        <v>85.716289508135404</v>
      </c>
    </row>
    <row r="21" spans="1:3" x14ac:dyDescent="0.35">
      <c r="A21" s="8" t="str">
        <f>Summary!A113</f>
        <v>Britoil 73</v>
      </c>
      <c r="B21" s="93">
        <f>Summary!B113</f>
        <v>24088.386010847204</v>
      </c>
      <c r="C21" s="8">
        <f>Summary!C113</f>
        <v>107.98242004862539</v>
      </c>
    </row>
    <row r="22" spans="1:3" x14ac:dyDescent="0.35">
      <c r="A22" s="8" t="str">
        <f>Summary!A114</f>
        <v>Britoil Diamond</v>
      </c>
      <c r="B22" s="93">
        <f>Summary!B114</f>
        <v>23050.612492986722</v>
      </c>
      <c r="C22" s="8">
        <f>Summary!C114</f>
        <v>106.91560688236393</v>
      </c>
    </row>
    <row r="23" spans="1:3" x14ac:dyDescent="0.35">
      <c r="A23" s="8" t="str">
        <f>Summary!A115</f>
        <v>Britoil 80</v>
      </c>
      <c r="B23" s="93">
        <f>Summary!B115</f>
        <v>22743.388816158593</v>
      </c>
      <c r="C23" s="8">
        <f>Summary!C115</f>
        <v>85.716289508135404</v>
      </c>
    </row>
    <row r="24" spans="1:3" x14ac:dyDescent="0.35">
      <c r="A24" s="8" t="str">
        <f>Summary!A116</f>
        <v>BOS Principle</v>
      </c>
      <c r="B24" s="93">
        <f>Summary!B116</f>
        <v>23200</v>
      </c>
      <c r="C24" s="8">
        <f>Summary!C116</f>
        <v>104</v>
      </c>
    </row>
    <row r="25" spans="1:3" x14ac:dyDescent="0.35">
      <c r="A25" s="8" t="str">
        <f>Summary!A117</f>
        <v>BOS Precious</v>
      </c>
      <c r="B25" s="93">
        <f>Summary!B117</f>
        <v>21543.631943145687</v>
      </c>
      <c r="C25" s="8">
        <f>Summary!C117</f>
        <v>96.574901814101366</v>
      </c>
    </row>
    <row r="26" spans="1:3" x14ac:dyDescent="0.35">
      <c r="A26" s="8" t="str">
        <f>Summary!A118</f>
        <v>BOS Prime</v>
      </c>
      <c r="B26" s="93">
        <f>Summary!B118</f>
        <v>19900</v>
      </c>
      <c r="C26" s="8">
        <f>Summary!C118</f>
        <v>75</v>
      </c>
    </row>
    <row r="27" spans="1:3" x14ac:dyDescent="0.35">
      <c r="A27" s="8" t="str">
        <f>Summary!A119</f>
        <v>BOS Athena</v>
      </c>
      <c r="B27" s="93">
        <f>Summary!B119</f>
        <v>20085.692911913222</v>
      </c>
      <c r="C27" s="8">
        <f>Summary!C119</f>
        <v>91.967458387881052</v>
      </c>
    </row>
    <row r="28" spans="1:3" x14ac:dyDescent="0.35">
      <c r="A28" s="8" t="str">
        <f>Summary!A120</f>
        <v>BOS Atlas</v>
      </c>
      <c r="B28" s="93">
        <f>Summary!B120</f>
        <v>20085.692911913222</v>
      </c>
      <c r="C28" s="8">
        <f>Summary!C120</f>
        <v>91.967458387881052</v>
      </c>
    </row>
    <row r="29" spans="1:3" x14ac:dyDescent="0.35">
      <c r="A29" s="8" t="str">
        <f>Summary!A121</f>
        <v>BOS Atlanta</v>
      </c>
      <c r="B29" s="93">
        <f>Summary!B121</f>
        <v>20085.692911913222</v>
      </c>
      <c r="C29" s="8">
        <f>Summary!C121</f>
        <v>91.967458387881052</v>
      </c>
    </row>
    <row r="30" spans="1:3" x14ac:dyDescent="0.35">
      <c r="A30" s="8" t="str">
        <f>Summary!A122</f>
        <v>BOS Chablis</v>
      </c>
      <c r="B30" s="93">
        <f>Summary!B122</f>
        <v>18479.236020198245</v>
      </c>
      <c r="C30" s="8">
        <f>Summary!C122</f>
        <v>69.645361885169251</v>
      </c>
    </row>
    <row r="31" spans="1:3" x14ac:dyDescent="0.35">
      <c r="A31" s="8" t="str">
        <f>Summary!A123</f>
        <v>BOS Thalassa</v>
      </c>
      <c r="B31" s="93">
        <f>Summary!B123</f>
        <v>17289.882176921637</v>
      </c>
      <c r="C31" s="8">
        <f>Summary!C123</f>
        <v>80.195623714232283</v>
      </c>
    </row>
    <row r="32" spans="1:3" x14ac:dyDescent="0.35">
      <c r="A32" s="8" t="str">
        <f>Summary!A124</f>
        <v>BOS Apollo</v>
      </c>
      <c r="B32" s="93">
        <f>Summary!B124</f>
        <v>17289.882176921637</v>
      </c>
      <c r="C32" s="8">
        <f>Summary!C124</f>
        <v>80.195623714232283</v>
      </c>
    </row>
    <row r="33" spans="1:3" x14ac:dyDescent="0.35">
      <c r="A33" s="8" t="str">
        <f>Summary!A125</f>
        <v>BOS Hestia</v>
      </c>
      <c r="B33" s="93">
        <f>Summary!B125</f>
        <v>17289.882176921637</v>
      </c>
      <c r="C33" s="8">
        <f>Summary!C125</f>
        <v>80.195623714232283</v>
      </c>
    </row>
    <row r="34" spans="1:3" x14ac:dyDescent="0.35">
      <c r="A34" s="8" t="str">
        <f>Summary!A126</f>
        <v>BOS Tethys</v>
      </c>
      <c r="B34" s="93">
        <f>Summary!B126</f>
        <v>17289.882176921637</v>
      </c>
      <c r="C34" s="8">
        <f>Summary!C126</f>
        <v>80.195623714232283</v>
      </c>
    </row>
    <row r="35" spans="1:3" x14ac:dyDescent="0.35">
      <c r="A35" s="8" t="str">
        <f>Summary!A127</f>
        <v>Britoil 63</v>
      </c>
      <c r="B35" s="93">
        <f>Summary!B127</f>
        <v>15352.066579390314</v>
      </c>
      <c r="C35" s="8">
        <f>Summary!C127</f>
        <v>57.859547409762484</v>
      </c>
    </row>
    <row r="36" spans="1:3" x14ac:dyDescent="0.35">
      <c r="A36" s="8" t="str">
        <f>Summary!A128</f>
        <v>BOS Challenge</v>
      </c>
      <c r="B36" s="93">
        <f>Summary!B128</f>
        <v>22007.934355713485</v>
      </c>
      <c r="C36" s="8">
        <f>Summary!C128</f>
        <v>84.503039087338692</v>
      </c>
    </row>
    <row r="37" spans="1:3" x14ac:dyDescent="0.35">
      <c r="A37" s="8" t="str">
        <f>Summary!A129</f>
        <v>Britoil 71</v>
      </c>
      <c r="B37" s="93">
        <f>Summary!B129</f>
        <v>14638.189639049935</v>
      </c>
      <c r="C37" s="8">
        <f>Summary!C129</f>
        <v>65.974939218253226</v>
      </c>
    </row>
    <row r="38" spans="1:3" x14ac:dyDescent="0.35">
      <c r="A38" s="8" t="str">
        <f>Summary!A130</f>
        <v>Britoil Destiny</v>
      </c>
      <c r="B38" s="93">
        <f>Summary!B130</f>
        <v>14418.893772208716</v>
      </c>
      <c r="C38" s="8">
        <f>Summary!C130</f>
        <v>62.776136151112773</v>
      </c>
    </row>
    <row r="39" spans="1:3" x14ac:dyDescent="0.35">
      <c r="A39" s="8" t="str">
        <f>Summary!A131</f>
        <v>BOS Purpose</v>
      </c>
      <c r="B39" s="93">
        <f>Summary!B131</f>
        <v>13388.68524406209</v>
      </c>
      <c r="C39" s="8">
        <f>Summary!C131</f>
        <v>60.34337011408266</v>
      </c>
    </row>
    <row r="40" spans="1:3" x14ac:dyDescent="0.35">
      <c r="A40" s="8" t="str">
        <f>Summary!A132</f>
        <v>Britoil 120</v>
      </c>
      <c r="B40" s="93">
        <f>Summary!B132</f>
        <v>13260</v>
      </c>
      <c r="C40" s="8">
        <f>Summary!C132</f>
        <v>14.3</v>
      </c>
    </row>
    <row r="41" spans="1:3" x14ac:dyDescent="0.35">
      <c r="A41" s="8" t="str">
        <f>Summary!A133</f>
        <v>BOS Champagne</v>
      </c>
      <c r="B41" s="93">
        <f>Summary!B133</f>
        <v>13186.18851692538</v>
      </c>
      <c r="C41" s="8">
        <f>Summary!C133</f>
        <v>59.430708808677764</v>
      </c>
    </row>
    <row r="42" spans="1:3" x14ac:dyDescent="0.35">
      <c r="A42" s="8" t="str">
        <f>Summary!A134</f>
        <v>BOS Prelude</v>
      </c>
      <c r="B42" s="93">
        <f>Summary!B134</f>
        <v>13186.18851692538</v>
      </c>
      <c r="C42" s="8">
        <f>Summary!C134</f>
        <v>59.430708808677764</v>
      </c>
    </row>
    <row r="43" spans="1:3" x14ac:dyDescent="0.35">
      <c r="A43" s="8" t="str">
        <f>Summary!A135</f>
        <v>Nautical Anisha</v>
      </c>
      <c r="B43" s="93">
        <f>Summary!B135</f>
        <v>12171.713110155226</v>
      </c>
      <c r="C43" s="8">
        <f>Summary!C135</f>
        <v>54.858425285206657</v>
      </c>
    </row>
    <row r="44" spans="1:3" x14ac:dyDescent="0.35">
      <c r="A44" s="8" t="str">
        <f>Summary!A136</f>
        <v>Nautical Aisia</v>
      </c>
      <c r="B44" s="93">
        <f>Summary!B136</f>
        <v>12171.713110155226</v>
      </c>
      <c r="C44" s="8">
        <f>Summary!C136</f>
        <v>54.858425285206657</v>
      </c>
    </row>
    <row r="45" spans="1:3" x14ac:dyDescent="0.35">
      <c r="A45" s="8" t="str">
        <f>Summary!A137</f>
        <v>BOS Base</v>
      </c>
      <c r="B45" s="93">
        <f>Summary!B137</f>
        <v>12171.713110155226</v>
      </c>
      <c r="C45" s="8">
        <f>Summary!C137</f>
        <v>54.858425285206657</v>
      </c>
    </row>
    <row r="46" spans="1:3" x14ac:dyDescent="0.35">
      <c r="A46" s="8" t="str">
        <f>Summary!A138</f>
        <v>Britoil 62</v>
      </c>
      <c r="B46" s="93">
        <f>Summary!B138</f>
        <v>15352.066579390314</v>
      </c>
      <c r="C46" s="8">
        <f>Summary!C138</f>
        <v>57.859547409762484</v>
      </c>
    </row>
    <row r="47" spans="1:3" x14ac:dyDescent="0.35">
      <c r="A47" s="8" t="str">
        <f>Summary!A139</f>
        <v>Britoil 64</v>
      </c>
      <c r="B47" s="93">
        <f>Summary!B139</f>
        <v>10954.740976248364</v>
      </c>
      <c r="C47" s="8">
        <f>Summary!C139</f>
        <v>49.373480456330654</v>
      </c>
    </row>
    <row r="48" spans="1:3" x14ac:dyDescent="0.35">
      <c r="A48" s="8" t="str">
        <f>Summary!A140</f>
        <v>Britoil 65</v>
      </c>
      <c r="B48" s="93">
        <f>Summary!B140</f>
        <v>10954.740976248364</v>
      </c>
      <c r="C48" s="8">
        <f>Summary!C140</f>
        <v>49.373480456330654</v>
      </c>
    </row>
    <row r="49" spans="1:3" x14ac:dyDescent="0.35">
      <c r="A49" s="8" t="str">
        <f>Summary!A141</f>
        <v>Britoil 66</v>
      </c>
      <c r="B49" s="93">
        <f>Summary!B141</f>
        <v>10954.740976248364</v>
      </c>
      <c r="C49" s="8">
        <f>Summary!C141</f>
        <v>49.373480456330654</v>
      </c>
    </row>
    <row r="50" spans="1:3" x14ac:dyDescent="0.35">
      <c r="A50" s="8" t="str">
        <f>Summary!A142</f>
        <v>Britoil 67</v>
      </c>
      <c r="B50" s="93">
        <f>Summary!B142</f>
        <v>15352.066579390314</v>
      </c>
      <c r="C50" s="8">
        <f>Summary!C142</f>
        <v>57.859547409762484</v>
      </c>
    </row>
    <row r="51" spans="1:3" x14ac:dyDescent="0.35">
      <c r="A51" s="8" t="str">
        <f>Summary!A143</f>
        <v>BOS Diligance</v>
      </c>
      <c r="B51" s="93">
        <f>Summary!B143</f>
        <v>10628.819899008789</v>
      </c>
      <c r="C51" s="8">
        <f>Summary!C143</f>
        <v>51.429773704881242</v>
      </c>
    </row>
    <row r="52" spans="1:3" x14ac:dyDescent="0.35">
      <c r="A52" s="8" t="str">
        <f>Summary!A144</f>
        <v>BOS Aphrodite</v>
      </c>
      <c r="B52" s="93">
        <f>Summary!B144</f>
        <v>10447.503272863287</v>
      </c>
      <c r="C52" s="8">
        <f>Summary!C144</f>
        <v>47.087338694595097</v>
      </c>
    </row>
    <row r="53" spans="1:3" x14ac:dyDescent="0.35">
      <c r="A53" s="8" t="str">
        <f>Summary!A145</f>
        <v>Paragon Sentinel</v>
      </c>
      <c r="B53" s="93">
        <f>Summary!B145</f>
        <v>8400.1963717972703</v>
      </c>
      <c r="C53" s="8">
        <f>Summary!C145</f>
        <v>38.572330278660928</v>
      </c>
    </row>
    <row r="54" spans="1:3" x14ac:dyDescent="0.35">
      <c r="A54" s="8" t="str">
        <f>Summary!A146</f>
        <v>Britoil 121</v>
      </c>
      <c r="B54" s="93">
        <f>Summary!B146</f>
        <v>8060</v>
      </c>
      <c r="C54" s="8">
        <f>Summary!C146</f>
        <v>14.3</v>
      </c>
    </row>
    <row r="55" spans="1:3" x14ac:dyDescent="0.35">
      <c r="A55" s="8" t="str">
        <f>Summary!A147</f>
        <v>ENA Habitat</v>
      </c>
      <c r="B55" s="93">
        <f>Summary!B147</f>
        <v>7971.6149242565925</v>
      </c>
      <c r="C55" s="8">
        <f>Summary!C147</f>
        <v>38.572330278660928</v>
      </c>
    </row>
    <row r="56" spans="1:3" x14ac:dyDescent="0.35">
      <c r="A56" s="8" t="str">
        <f>Summary!A148</f>
        <v>Mashhor Princess</v>
      </c>
      <c r="B56" s="93">
        <f>Summary!B148</f>
        <v>7971.6149242565925</v>
      </c>
      <c r="C56" s="8">
        <f>Summary!C148</f>
        <v>38.572330278660928</v>
      </c>
    </row>
    <row r="57" spans="1:3" x14ac:dyDescent="0.35">
      <c r="A57" s="8" t="str">
        <f>Summary!A149</f>
        <v>Britoil 22</v>
      </c>
      <c r="B57" s="93">
        <f>Summary!B149</f>
        <v>7303.160650832242</v>
      </c>
      <c r="C57" s="8">
        <f>Summary!C149</f>
        <v>32.915653637553767</v>
      </c>
    </row>
    <row r="58" spans="1:3" x14ac:dyDescent="0.35">
      <c r="A58" s="8" t="str">
        <f>Summary!A150</f>
        <v>Britoil Dragon</v>
      </c>
      <c r="B58" s="93">
        <f>Summary!B150</f>
        <v>9781.4381896390496</v>
      </c>
      <c r="C58" s="8">
        <f>Summary!C150</f>
        <v>20.78964840097251</v>
      </c>
    </row>
    <row r="59" spans="1:3" x14ac:dyDescent="0.35">
      <c r="A59" s="8" t="str">
        <f>Summary!A151</f>
        <v>Britoil Defender</v>
      </c>
      <c r="B59" s="93">
        <f>Summary!B151</f>
        <v>642.88386010847205</v>
      </c>
      <c r="C59" s="8">
        <f>Summary!C151</f>
        <v>0</v>
      </c>
    </row>
    <row r="60" spans="1:3" x14ac:dyDescent="0.35">
      <c r="A60" s="8" t="str">
        <f>Summary!A152</f>
        <v>Britoil 21</v>
      </c>
      <c r="B60" s="93">
        <f>Summary!B152</f>
        <v>0</v>
      </c>
      <c r="C60" s="8">
        <f>Summary!C152</f>
        <v>0</v>
      </c>
    </row>
    <row r="61" spans="1:3" x14ac:dyDescent="0.35">
      <c r="A61" s="8" t="str">
        <f>Summary!A153</f>
        <v>BOS Athos</v>
      </c>
      <c r="B61" s="93">
        <f>Summary!B153</f>
        <v>0</v>
      </c>
      <c r="C61" s="8">
        <f>Summary!C153</f>
        <v>0</v>
      </c>
    </row>
    <row r="62" spans="1:3" x14ac:dyDescent="0.35">
      <c r="A62" s="8" t="str">
        <f>Summary!A154</f>
        <v>Britoil Guardian</v>
      </c>
      <c r="B62" s="93">
        <f>Summary!B154</f>
        <v>0</v>
      </c>
      <c r="C62" s="8">
        <f>Summary!C154</f>
        <v>0</v>
      </c>
    </row>
    <row r="63" spans="1:3" x14ac:dyDescent="0.35">
      <c r="A63" s="8" t="str">
        <f>Summary!A155</f>
        <v>BOS Theia</v>
      </c>
      <c r="B63" s="93">
        <f>Summary!B155</f>
        <v>0</v>
      </c>
      <c r="C63" s="8">
        <f>Summary!C155</f>
        <v>0</v>
      </c>
    </row>
    <row r="64" spans="1:3" x14ac:dyDescent="0.35">
      <c r="A64" s="8" t="str">
        <f>Summary!A156</f>
        <v>BOS Triton</v>
      </c>
      <c r="B64" s="93">
        <f>Summary!B156</f>
        <v>0</v>
      </c>
      <c r="C64" s="8">
        <f>Summary!C156</f>
        <v>0</v>
      </c>
    </row>
    <row r="65" spans="1:3" x14ac:dyDescent="0.35">
      <c r="A65" s="8" t="str">
        <f>Summary!A157</f>
        <v>BOS Pool</v>
      </c>
      <c r="B65" s="93">
        <f>Summary!B157</f>
        <v>0</v>
      </c>
      <c r="C65" s="8">
        <f>Summary!C157</f>
        <v>0</v>
      </c>
    </row>
    <row r="66" spans="1:3" x14ac:dyDescent="0.35">
      <c r="A66" s="8" t="str">
        <f>Summary!A158</f>
        <v>BOS Tramontana</v>
      </c>
      <c r="B66" s="93">
        <f>Summary!B158</f>
        <v>0</v>
      </c>
      <c r="C66" s="8">
        <f>Summary!C158</f>
        <v>0</v>
      </c>
    </row>
    <row r="67" spans="1:3" x14ac:dyDescent="0.35">
      <c r="A67" s="8" t="str">
        <f>Summary!A159</f>
        <v>Britoil 57</v>
      </c>
      <c r="B67" s="93">
        <f>Summary!B159</f>
        <v>0</v>
      </c>
      <c r="C67" s="8">
        <f>Summary!C159</f>
        <v>0</v>
      </c>
    </row>
    <row r="68" spans="1:3" x14ac:dyDescent="0.35">
      <c r="A68" t="str">
        <f>Summary!A160</f>
        <v>BOS Dignity</v>
      </c>
      <c r="B68">
        <f>Summary!B160</f>
        <v>0</v>
      </c>
      <c r="C68">
        <f>Summary!C160</f>
        <v>0</v>
      </c>
    </row>
    <row r="69" spans="1:3" x14ac:dyDescent="0.35">
      <c r="A69" t="str">
        <f>Summary!A161</f>
        <v>BOS Dominance</v>
      </c>
      <c r="B69">
        <f>Summary!B161</f>
        <v>0</v>
      </c>
      <c r="C69">
        <f>Summary!C161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B2" sqref="B2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125</v>
      </c>
      <c r="B1" s="113">
        <f>Sheet2!E1</f>
        <v>360133.57490181411</v>
      </c>
      <c r="C1" s="93">
        <f>Sheet2!F1</f>
        <v>15657.981517470178</v>
      </c>
    </row>
    <row r="2" spans="1:3" x14ac:dyDescent="0.35">
      <c r="A2" s="8" t="s">
        <v>124</v>
      </c>
      <c r="B2" s="113">
        <f>Sheet2!E2</f>
        <v>309455.44697961473</v>
      </c>
      <c r="C2" s="93">
        <f>Sheet2!F2</f>
        <v>19340.965436225921</v>
      </c>
    </row>
    <row r="3" spans="1:3" x14ac:dyDescent="0.35">
      <c r="A3" s="8" t="s">
        <v>123</v>
      </c>
      <c r="B3" s="113">
        <f>Sheet2!E3</f>
        <v>544563.75818215811</v>
      </c>
      <c r="C3" s="93">
        <f>Sheet2!F3</f>
        <v>19448.70564936279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2"/>
  <sheetViews>
    <sheetView workbookViewId="0">
      <selection activeCell="G11" sqref="G11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Sheet2!G1</f>
        <v>MGPS</v>
      </c>
      <c r="B1" s="136">
        <f>Sheet2!H1</f>
        <v>47</v>
      </c>
      <c r="C1" s="136">
        <f>Sheet2!I1</f>
        <v>1</v>
      </c>
      <c r="D1" s="136">
        <f>Sheet2!J1</f>
        <v>64</v>
      </c>
      <c r="E1" s="137">
        <f>Summary!N3</f>
        <v>667400</v>
      </c>
    </row>
    <row r="2" spans="1:5" x14ac:dyDescent="0.35">
      <c r="A2" s="22" t="str">
        <f>Sheet2!G2</f>
        <v>Chlorinator</v>
      </c>
      <c r="B2" s="136">
        <f>Sheet2!H2</f>
        <v>0</v>
      </c>
      <c r="C2" s="136">
        <f>Sheet2!I2</f>
        <v>1</v>
      </c>
      <c r="D2" s="136">
        <f>Sheet2!J2</f>
        <v>2</v>
      </c>
      <c r="E2" s="137">
        <f>Summary!N4</f>
        <v>0</v>
      </c>
    </row>
    <row r="3" spans="1:5" x14ac:dyDescent="0.35">
      <c r="A3" s="22" t="str">
        <f>Sheet2!G3</f>
        <v>CMCE LP</v>
      </c>
      <c r="B3" s="136">
        <f>Sheet2!H3</f>
        <v>12</v>
      </c>
      <c r="C3" s="136">
        <f>Sheet2!I3</f>
        <v>1</v>
      </c>
      <c r="D3" s="136">
        <f>Sheet2!J3</f>
        <v>42</v>
      </c>
      <c r="E3" s="137">
        <f>Summary!N5</f>
        <v>6000</v>
      </c>
    </row>
    <row r="4" spans="1:5" x14ac:dyDescent="0.35">
      <c r="A4" s="22" t="str">
        <f>Sheet2!G4</f>
        <v>IWTM Filter</v>
      </c>
      <c r="B4" s="136">
        <f>Sheet2!H4</f>
        <v>21</v>
      </c>
      <c r="C4" s="136">
        <f>Sheet2!I4</f>
        <v>13</v>
      </c>
      <c r="D4" s="136">
        <f>Sheet2!J4</f>
        <v>61</v>
      </c>
      <c r="E4" s="137">
        <f>Summary!N6</f>
        <v>119700</v>
      </c>
    </row>
    <row r="5" spans="1:5" x14ac:dyDescent="0.35">
      <c r="A5" s="22" t="str">
        <f>Sheet2!G5</f>
        <v>LED lights</v>
      </c>
      <c r="B5" s="136">
        <f>Sheet2!H5</f>
        <v>25</v>
      </c>
      <c r="C5" s="136">
        <f>Sheet2!I5</f>
        <v>2</v>
      </c>
      <c r="D5" s="136">
        <f>Sheet2!J5</f>
        <v>68</v>
      </c>
      <c r="E5" s="137">
        <f>Summary!N7</f>
        <v>232500</v>
      </c>
    </row>
    <row r="6" spans="1:5" x14ac:dyDescent="0.35">
      <c r="A6" s="22" t="str">
        <f>Sheet2!G6</f>
        <v>EFMS</v>
      </c>
      <c r="B6" s="136">
        <f>Sheet2!H6</f>
        <v>16</v>
      </c>
      <c r="C6" s="136">
        <f>Sheet2!I6</f>
        <v>1</v>
      </c>
      <c r="D6" s="136">
        <f>Sheet2!J6</f>
        <v>67</v>
      </c>
      <c r="E6" s="137">
        <f>Summary!N8</f>
        <v>288000</v>
      </c>
    </row>
    <row r="7" spans="1:5" x14ac:dyDescent="0.35">
      <c r="A7" s="22" t="str">
        <f>Sheet2!G7</f>
        <v>Deva Paint</v>
      </c>
      <c r="B7" s="136">
        <f>Sheet2!H7</f>
        <v>1</v>
      </c>
      <c r="C7" s="136">
        <f>Sheet2!I7</f>
        <v>0</v>
      </c>
      <c r="D7" s="136">
        <f>Sheet2!J7</f>
        <v>67</v>
      </c>
      <c r="E7" s="137">
        <f>Summary!N10</f>
        <v>16000</v>
      </c>
    </row>
    <row r="8" spans="1:5" x14ac:dyDescent="0.35">
      <c r="A8" s="111" t="str">
        <f>Sheet2!G8</f>
        <v>AI CCTV</v>
      </c>
      <c r="B8" s="136">
        <f>Sheet2!H8</f>
        <v>4</v>
      </c>
      <c r="C8" s="136">
        <f>Sheet2!I8</f>
        <v>0</v>
      </c>
      <c r="D8" s="136">
        <f>Sheet2!J8</f>
        <v>5</v>
      </c>
      <c r="E8" s="137">
        <f>Summary!N11</f>
        <v>110000</v>
      </c>
    </row>
    <row r="9" spans="1:5" x14ac:dyDescent="0.35">
      <c r="A9" s="111" t="str">
        <f>Sheet2!G9</f>
        <v>Nautilus Log</v>
      </c>
      <c r="B9" s="136">
        <f>Sheet2!H9</f>
        <v>55</v>
      </c>
      <c r="C9" s="136">
        <f>Sheet2!I9</f>
        <v>0</v>
      </c>
      <c r="D9" s="136">
        <f>Sheet2!J9</f>
        <v>67</v>
      </c>
      <c r="E9" s="137">
        <f>Summary!N12</f>
        <v>0</v>
      </c>
    </row>
    <row r="10" spans="1:5" x14ac:dyDescent="0.35">
      <c r="A10" s="94" t="str">
        <f>Sheet2!G10</f>
        <v>RE Conversion</v>
      </c>
      <c r="B10" s="136">
        <f>Sheet2!H10</f>
        <v>1</v>
      </c>
      <c r="C10" s="136">
        <f>Sheet2!I10</f>
        <v>0</v>
      </c>
      <c r="D10" s="136">
        <f>Sheet2!J10</f>
        <v>1</v>
      </c>
      <c r="E10" s="137">
        <f>Summary!N14</f>
        <v>0</v>
      </c>
    </row>
    <row r="11" spans="1:5" x14ac:dyDescent="0.35">
      <c r="A11" t="str">
        <f>Sheet2!G11</f>
        <v>Silicon Hempel X7</v>
      </c>
      <c r="B11">
        <f>Sheet2!H11</f>
        <v>0</v>
      </c>
      <c r="C11">
        <f>Sheet2!I11</f>
        <v>0</v>
      </c>
      <c r="D11">
        <f>Sheet2!J11</f>
        <v>6</v>
      </c>
      <c r="E11" s="137">
        <f>Summary!N15</f>
        <v>0</v>
      </c>
    </row>
    <row r="12" spans="1:5" x14ac:dyDescent="0.35">
      <c r="A12" t="str">
        <f>Sheet2!G12</f>
        <v>IOW Separator</v>
      </c>
      <c r="B12">
        <f>Sheet2!H12</f>
        <v>0</v>
      </c>
      <c r="C12">
        <f>Sheet2!I12</f>
        <v>1</v>
      </c>
      <c r="D12">
        <f>Sheet2!J12</f>
        <v>1</v>
      </c>
      <c r="E12" s="137">
        <f>Summary!N16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2025-06-25T03:36:49Z</dcterms:modified>
  <cp:category/>
  <cp:contentStatus/>
</cp:coreProperties>
</file>