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ebextensions/webextension1.xml" ContentType="application/vnd.ms-office.webextension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drawings/drawing5.xml" ContentType="application/vnd.openxmlformats-officedocument.drawingml.chartshapes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ritoilos-my.sharepoint.com/personal/axel_faurax_britoil_com_sg/Documents/"/>
    </mc:Choice>
  </mc:AlternateContent>
  <xr:revisionPtr revIDLastSave="94" documentId="13_ncr:1_{E5929760-29B4-4FBD-B5DB-E23A2F078BDE}" xr6:coauthVersionLast="47" xr6:coauthVersionMax="47" xr10:uidLastSave="{0AB2B49A-3492-4835-BB24-BB2AD39ADD02}"/>
  <bookViews>
    <workbookView xWindow="-110" yWindow="-110" windowWidth="19420" windowHeight="11500" xr2:uid="{00000000-000D-0000-FFFF-FFFF00000000}"/>
  </bookViews>
  <sheets>
    <sheet name="Tracker" sheetId="1" r:id="rId1"/>
    <sheet name="Summary" sheetId="2" r:id="rId2"/>
  </sheets>
  <definedNames>
    <definedName name="_xlnm._FilterDatabase" localSheetId="0" hidden="1">Tracker!$B$8:$K$409</definedName>
    <definedName name="BOSDubai" comment="Ce sont les bateaux a dubai">Tracker!$C$9:$C$119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0" i="1" l="1"/>
  <c r="Y11" i="1"/>
  <c r="Y12" i="1"/>
  <c r="V12" i="1" s="1"/>
  <c r="Y13" i="1"/>
  <c r="V13" i="1" s="1"/>
  <c r="Y14" i="1"/>
  <c r="V14" i="1" s="1"/>
  <c r="Y15" i="1"/>
  <c r="V15" i="1" s="1"/>
  <c r="Y16" i="1"/>
  <c r="V16" i="1" s="1"/>
  <c r="Y17" i="1"/>
  <c r="V17" i="1" s="1"/>
  <c r="H17" i="1" s="1"/>
  <c r="Y18" i="1"/>
  <c r="V18" i="1" s="1"/>
  <c r="Y19" i="1"/>
  <c r="V19" i="1" s="1"/>
  <c r="Y20" i="1"/>
  <c r="V20" i="1" s="1"/>
  <c r="I20" i="1" s="1"/>
  <c r="Y21" i="1"/>
  <c r="V21" i="1" s="1"/>
  <c r="Y22" i="1"/>
  <c r="V22" i="1" s="1"/>
  <c r="I22" i="1" s="1"/>
  <c r="Y23" i="1"/>
  <c r="V23" i="1" s="1"/>
  <c r="Y24" i="1"/>
  <c r="V24" i="1" s="1"/>
  <c r="Y25" i="1"/>
  <c r="V25" i="1" s="1"/>
  <c r="Y26" i="1"/>
  <c r="V26" i="1" s="1"/>
  <c r="Y27" i="1"/>
  <c r="V27" i="1" s="1"/>
  <c r="Y28" i="1"/>
  <c r="V28" i="1" s="1"/>
  <c r="Y29" i="1"/>
  <c r="V29" i="1" s="1"/>
  <c r="Y30" i="1"/>
  <c r="V30" i="1" s="1"/>
  <c r="Y31" i="1"/>
  <c r="V31" i="1" s="1"/>
  <c r="Y32" i="1"/>
  <c r="V32" i="1" s="1"/>
  <c r="Y33" i="1"/>
  <c r="V33" i="1" s="1"/>
  <c r="H33" i="1" s="1"/>
  <c r="Y34" i="1"/>
  <c r="V34" i="1" s="1"/>
  <c r="Y35" i="1"/>
  <c r="V35" i="1" s="1"/>
  <c r="H35" i="1" s="1"/>
  <c r="Y36" i="1"/>
  <c r="V36" i="1" s="1"/>
  <c r="Y37" i="1"/>
  <c r="V37" i="1" s="1"/>
  <c r="Y38" i="1"/>
  <c r="V38" i="1" s="1"/>
  <c r="Y39" i="1"/>
  <c r="V39" i="1" s="1"/>
  <c r="Y40" i="1"/>
  <c r="V40" i="1" s="1"/>
  <c r="H40" i="1" s="1"/>
  <c r="Y41" i="1"/>
  <c r="V41" i="1" s="1"/>
  <c r="Y42" i="1"/>
  <c r="V42" i="1" s="1"/>
  <c r="Y43" i="1"/>
  <c r="V43" i="1" s="1"/>
  <c r="H43" i="1" s="1"/>
  <c r="Y44" i="1"/>
  <c r="V44" i="1" s="1"/>
  <c r="Y45" i="1"/>
  <c r="V45" i="1" s="1"/>
  <c r="I45" i="1" s="1"/>
  <c r="Y46" i="1"/>
  <c r="V46" i="1" s="1"/>
  <c r="Y47" i="1"/>
  <c r="V47" i="1" s="1"/>
  <c r="Y48" i="1"/>
  <c r="V48" i="1" s="1"/>
  <c r="Y49" i="1"/>
  <c r="V49" i="1" s="1"/>
  <c r="Y50" i="1"/>
  <c r="V50" i="1" s="1"/>
  <c r="J50" i="1" s="1"/>
  <c r="Y51" i="1"/>
  <c r="V51" i="1" s="1"/>
  <c r="Y52" i="1"/>
  <c r="V52" i="1" s="1"/>
  <c r="Y53" i="1"/>
  <c r="V53" i="1" s="1"/>
  <c r="Y54" i="1"/>
  <c r="V54" i="1" s="1"/>
  <c r="Y55" i="1"/>
  <c r="V55" i="1" s="1"/>
  <c r="Y56" i="1"/>
  <c r="V56" i="1" s="1"/>
  <c r="Y57" i="1"/>
  <c r="V57" i="1" s="1"/>
  <c r="Y58" i="1"/>
  <c r="V58" i="1" s="1"/>
  <c r="Y59" i="1"/>
  <c r="V59" i="1" s="1"/>
  <c r="Y60" i="1"/>
  <c r="V60" i="1" s="1"/>
  <c r="H60" i="1" s="1"/>
  <c r="Y61" i="1"/>
  <c r="V61" i="1" s="1"/>
  <c r="Y62" i="1"/>
  <c r="V62" i="1" s="1"/>
  <c r="Y63" i="1"/>
  <c r="V63" i="1" s="1"/>
  <c r="Y64" i="1"/>
  <c r="V64" i="1" s="1"/>
  <c r="Y65" i="1"/>
  <c r="V65" i="1" s="1"/>
  <c r="H65" i="1" s="1"/>
  <c r="Y66" i="1"/>
  <c r="V66" i="1" s="1"/>
  <c r="Y67" i="1"/>
  <c r="V67" i="1" s="1"/>
  <c r="H67" i="1" s="1"/>
  <c r="Y68" i="1"/>
  <c r="V68" i="1" s="1"/>
  <c r="Y69" i="1"/>
  <c r="V69" i="1" s="1"/>
  <c r="Y70" i="1"/>
  <c r="V70" i="1" s="1"/>
  <c r="Y71" i="1"/>
  <c r="V71" i="1" s="1"/>
  <c r="Y72" i="1"/>
  <c r="V72" i="1" s="1"/>
  <c r="Y73" i="1"/>
  <c r="V73" i="1" s="1"/>
  <c r="Y74" i="1"/>
  <c r="V74" i="1" s="1"/>
  <c r="Y75" i="1"/>
  <c r="V75" i="1" s="1"/>
  <c r="H75" i="1" s="1"/>
  <c r="Y76" i="1"/>
  <c r="V76" i="1" s="1"/>
  <c r="Y77" i="1"/>
  <c r="V77" i="1" s="1"/>
  <c r="Y78" i="1"/>
  <c r="V78" i="1" s="1"/>
  <c r="Y79" i="1"/>
  <c r="V79" i="1" s="1"/>
  <c r="Y80" i="1"/>
  <c r="V80" i="1" s="1"/>
  <c r="H80" i="1" s="1"/>
  <c r="Y81" i="1"/>
  <c r="V81" i="1" s="1"/>
  <c r="J81" i="1" s="1"/>
  <c r="Y82" i="1"/>
  <c r="V82" i="1" s="1"/>
  <c r="Y83" i="1"/>
  <c r="V83" i="1" s="1"/>
  <c r="Y84" i="1"/>
  <c r="V84" i="1" s="1"/>
  <c r="Y85" i="1"/>
  <c r="V85" i="1" s="1"/>
  <c r="Y86" i="1"/>
  <c r="V86" i="1" s="1"/>
  <c r="Y87" i="1"/>
  <c r="V87" i="1" s="1"/>
  <c r="I87" i="1" s="1"/>
  <c r="Y88" i="1"/>
  <c r="V88" i="1" s="1"/>
  <c r="Y89" i="1"/>
  <c r="V89" i="1" s="1"/>
  <c r="Y90" i="1"/>
  <c r="V90" i="1" s="1"/>
  <c r="I90" i="1" s="1"/>
  <c r="Y91" i="1"/>
  <c r="V91" i="1" s="1"/>
  <c r="Y92" i="1"/>
  <c r="V92" i="1" s="1"/>
  <c r="Y93" i="1"/>
  <c r="V93" i="1" s="1"/>
  <c r="Y94" i="1"/>
  <c r="V94" i="1" s="1"/>
  <c r="H94" i="1" s="1"/>
  <c r="Y95" i="1"/>
  <c r="V95" i="1" s="1"/>
  <c r="Y96" i="1"/>
  <c r="V96" i="1" s="1"/>
  <c r="Y97" i="1"/>
  <c r="V97" i="1" s="1"/>
  <c r="Y98" i="1"/>
  <c r="V98" i="1" s="1"/>
  <c r="Y99" i="1"/>
  <c r="V99" i="1" s="1"/>
  <c r="Y100" i="1"/>
  <c r="V100" i="1" s="1"/>
  <c r="Y101" i="1"/>
  <c r="V101" i="1" s="1"/>
  <c r="Y102" i="1"/>
  <c r="V102" i="1" s="1"/>
  <c r="I102" i="1" s="1"/>
  <c r="Y103" i="1"/>
  <c r="V103" i="1" s="1"/>
  <c r="Y104" i="1"/>
  <c r="V104" i="1" s="1"/>
  <c r="Y105" i="1"/>
  <c r="V105" i="1" s="1"/>
  <c r="I105" i="1" s="1"/>
  <c r="Y106" i="1"/>
  <c r="Y107" i="1"/>
  <c r="Y108" i="1"/>
  <c r="V108" i="1" s="1"/>
  <c r="Y109" i="1"/>
  <c r="V109" i="1" s="1"/>
  <c r="Y110" i="1"/>
  <c r="V110" i="1" s="1"/>
  <c r="Y111" i="1"/>
  <c r="V111" i="1" s="1"/>
  <c r="Y112" i="1"/>
  <c r="V112" i="1" s="1"/>
  <c r="Y113" i="1"/>
  <c r="V113" i="1" s="1"/>
  <c r="H113" i="1" s="1"/>
  <c r="Y114" i="1"/>
  <c r="V114" i="1" s="1"/>
  <c r="Y115" i="1"/>
  <c r="V115" i="1" s="1"/>
  <c r="Y116" i="1"/>
  <c r="V116" i="1" s="1"/>
  <c r="Y117" i="1"/>
  <c r="V117" i="1" s="1"/>
  <c r="H117" i="1" s="1"/>
  <c r="Y118" i="1"/>
  <c r="V118" i="1" s="1"/>
  <c r="Y119" i="1"/>
  <c r="V119" i="1" s="1"/>
  <c r="Y120" i="1"/>
  <c r="V120" i="1" s="1"/>
  <c r="Y121" i="1"/>
  <c r="V121" i="1" s="1"/>
  <c r="Y122" i="1"/>
  <c r="Y123" i="1"/>
  <c r="Y124" i="1"/>
  <c r="V124" i="1" s="1"/>
  <c r="Y125" i="1"/>
  <c r="V125" i="1" s="1"/>
  <c r="Y126" i="1"/>
  <c r="V126" i="1" s="1"/>
  <c r="Y127" i="1"/>
  <c r="V127" i="1" s="1"/>
  <c r="Y128" i="1"/>
  <c r="V128" i="1" s="1"/>
  <c r="J128" i="1" s="1"/>
  <c r="Y129" i="1"/>
  <c r="V129" i="1" s="1"/>
  <c r="Y130" i="1"/>
  <c r="V130" i="1" s="1"/>
  <c r="H130" i="1" s="1"/>
  <c r="Y131" i="1"/>
  <c r="V131" i="1" s="1"/>
  <c r="H131" i="1" s="1"/>
  <c r="Y132" i="1"/>
  <c r="V132" i="1" s="1"/>
  <c r="Y133" i="1"/>
  <c r="V133" i="1" s="1"/>
  <c r="Y134" i="1"/>
  <c r="V134" i="1" s="1"/>
  <c r="Y135" i="1"/>
  <c r="V135" i="1" s="1"/>
  <c r="Y136" i="1"/>
  <c r="V136" i="1" s="1"/>
  <c r="Y137" i="1"/>
  <c r="V137" i="1" s="1"/>
  <c r="Y138" i="1"/>
  <c r="V138" i="1" s="1"/>
  <c r="Y139" i="1"/>
  <c r="V139" i="1" s="1"/>
  <c r="Y140" i="1"/>
  <c r="V140" i="1" s="1"/>
  <c r="Y141" i="1"/>
  <c r="V141" i="1" s="1"/>
  <c r="Y142" i="1"/>
  <c r="V142" i="1" s="1"/>
  <c r="Y143" i="1"/>
  <c r="V143" i="1" s="1"/>
  <c r="Y144" i="1"/>
  <c r="V144" i="1" s="1"/>
  <c r="Y145" i="1"/>
  <c r="V145" i="1" s="1"/>
  <c r="Y146" i="1"/>
  <c r="V146" i="1" s="1"/>
  <c r="Y147" i="1"/>
  <c r="V147" i="1" s="1"/>
  <c r="Y148" i="1"/>
  <c r="V148" i="1" s="1"/>
  <c r="H148" i="1" s="1"/>
  <c r="Y149" i="1"/>
  <c r="V149" i="1" s="1"/>
  <c r="Y150" i="1"/>
  <c r="V150" i="1" s="1"/>
  <c r="H150" i="1" s="1"/>
  <c r="Y151" i="1"/>
  <c r="V151" i="1" s="1"/>
  <c r="H151" i="1" s="1"/>
  <c r="Y152" i="1"/>
  <c r="V152" i="1" s="1"/>
  <c r="Y153" i="1"/>
  <c r="V153" i="1" s="1"/>
  <c r="Y154" i="1"/>
  <c r="V154" i="1" s="1"/>
  <c r="Y155" i="1"/>
  <c r="Y156" i="1"/>
  <c r="V156" i="1" s="1"/>
  <c r="I156" i="1" s="1"/>
  <c r="Y157" i="1"/>
  <c r="V157" i="1" s="1"/>
  <c r="I157" i="1" s="1"/>
  <c r="Y158" i="1"/>
  <c r="V158" i="1" s="1"/>
  <c r="Y159" i="1"/>
  <c r="V159" i="1" s="1"/>
  <c r="Y160" i="1"/>
  <c r="V160" i="1" s="1"/>
  <c r="Y161" i="1"/>
  <c r="V161" i="1" s="1"/>
  <c r="Y162" i="1"/>
  <c r="V162" i="1" s="1"/>
  <c r="Y163" i="1"/>
  <c r="V163" i="1" s="1"/>
  <c r="Y164" i="1"/>
  <c r="V164" i="1" s="1"/>
  <c r="Y165" i="1"/>
  <c r="V165" i="1" s="1"/>
  <c r="Y166" i="1"/>
  <c r="V166" i="1" s="1"/>
  <c r="Y167" i="1"/>
  <c r="V167" i="1" s="1"/>
  <c r="Y168" i="1"/>
  <c r="V168" i="1" s="1"/>
  <c r="H168" i="1" s="1"/>
  <c r="Y169" i="1"/>
  <c r="V169" i="1" s="1"/>
  <c r="H169" i="1" s="1"/>
  <c r="Y170" i="1"/>
  <c r="Y171" i="1"/>
  <c r="Y172" i="1"/>
  <c r="V172" i="1" s="1"/>
  <c r="Y173" i="1"/>
  <c r="V173" i="1" s="1"/>
  <c r="Y174" i="1"/>
  <c r="V174" i="1" s="1"/>
  <c r="Y175" i="1"/>
  <c r="V175" i="1" s="1"/>
  <c r="Y176" i="1"/>
  <c r="V176" i="1" s="1"/>
  <c r="Y177" i="1"/>
  <c r="V177" i="1" s="1"/>
  <c r="Y178" i="1"/>
  <c r="V178" i="1" s="1"/>
  <c r="J178" i="1" s="1"/>
  <c r="Y179" i="1"/>
  <c r="V179" i="1" s="1"/>
  <c r="Y180" i="1"/>
  <c r="V180" i="1" s="1"/>
  <c r="J180" i="1" s="1"/>
  <c r="Y181" i="1"/>
  <c r="V181" i="1" s="1"/>
  <c r="H181" i="1" s="1"/>
  <c r="Y182" i="1"/>
  <c r="V182" i="1" s="1"/>
  <c r="Y183" i="1"/>
  <c r="V183" i="1" s="1"/>
  <c r="Y184" i="1"/>
  <c r="V184" i="1" s="1"/>
  <c r="Y185" i="1"/>
  <c r="V185" i="1" s="1"/>
  <c r="Y186" i="1"/>
  <c r="V186" i="1" s="1"/>
  <c r="Y187" i="1"/>
  <c r="V187" i="1" s="1"/>
  <c r="Y188" i="1"/>
  <c r="V188" i="1" s="1"/>
  <c r="Y189" i="1"/>
  <c r="V189" i="1" s="1"/>
  <c r="Y190" i="1"/>
  <c r="V190" i="1" s="1"/>
  <c r="H190" i="1" s="1"/>
  <c r="Y191" i="1"/>
  <c r="V191" i="1" s="1"/>
  <c r="Y192" i="1"/>
  <c r="V192" i="1" s="1"/>
  <c r="Y193" i="1"/>
  <c r="V193" i="1" s="1"/>
  <c r="H193" i="1" s="1"/>
  <c r="Y194" i="1"/>
  <c r="V194" i="1" s="1"/>
  <c r="Y195" i="1"/>
  <c r="V195" i="1" s="1"/>
  <c r="Y196" i="1"/>
  <c r="V196" i="1" s="1"/>
  <c r="Y197" i="1"/>
  <c r="V197" i="1" s="1"/>
  <c r="Y198" i="1"/>
  <c r="V198" i="1" s="1"/>
  <c r="Y199" i="1"/>
  <c r="V199" i="1" s="1"/>
  <c r="Y200" i="1"/>
  <c r="V200" i="1" s="1"/>
  <c r="Y201" i="1"/>
  <c r="V201" i="1" s="1"/>
  <c r="Y202" i="1"/>
  <c r="V202" i="1" s="1"/>
  <c r="I202" i="1" s="1"/>
  <c r="Y203" i="1"/>
  <c r="Y204" i="1"/>
  <c r="V204" i="1" s="1"/>
  <c r="Y205" i="1"/>
  <c r="V205" i="1" s="1"/>
  <c r="Y206" i="1"/>
  <c r="V206" i="1" s="1"/>
  <c r="I206" i="1" s="1"/>
  <c r="Y207" i="1"/>
  <c r="V207" i="1" s="1"/>
  <c r="Y208" i="1"/>
  <c r="V208" i="1" s="1"/>
  <c r="J208" i="1" s="1"/>
  <c r="Y209" i="1"/>
  <c r="V209" i="1" s="1"/>
  <c r="Y210" i="1"/>
  <c r="V210" i="1" s="1"/>
  <c r="Y211" i="1"/>
  <c r="V211" i="1" s="1"/>
  <c r="Y212" i="1"/>
  <c r="V212" i="1" s="1"/>
  <c r="Y213" i="1"/>
  <c r="V213" i="1" s="1"/>
  <c r="Y214" i="1"/>
  <c r="V214" i="1" s="1"/>
  <c r="Y215" i="1"/>
  <c r="V215" i="1" s="1"/>
  <c r="Y216" i="1"/>
  <c r="V216" i="1" s="1"/>
  <c r="Y217" i="1"/>
  <c r="V217" i="1" s="1"/>
  <c r="Y218" i="1"/>
  <c r="V218" i="1" s="1"/>
  <c r="Y219" i="1"/>
  <c r="Y220" i="1"/>
  <c r="V220" i="1" s="1"/>
  <c r="Y221" i="1"/>
  <c r="V221" i="1" s="1"/>
  <c r="Y222" i="1"/>
  <c r="V222" i="1" s="1"/>
  <c r="Y223" i="1"/>
  <c r="V223" i="1" s="1"/>
  <c r="Y224" i="1"/>
  <c r="V224" i="1" s="1"/>
  <c r="Y225" i="1"/>
  <c r="V225" i="1" s="1"/>
  <c r="Y226" i="1"/>
  <c r="V226" i="1" s="1"/>
  <c r="I226" i="1" s="1"/>
  <c r="Y227" i="1"/>
  <c r="V227" i="1" s="1"/>
  <c r="Y228" i="1"/>
  <c r="V228" i="1" s="1"/>
  <c r="Y229" i="1"/>
  <c r="V229" i="1" s="1"/>
  <c r="Y230" i="1"/>
  <c r="V230" i="1" s="1"/>
  <c r="Y231" i="1"/>
  <c r="V231" i="1" s="1"/>
  <c r="Y232" i="1"/>
  <c r="V232" i="1" s="1"/>
  <c r="Y233" i="1"/>
  <c r="V233" i="1" s="1"/>
  <c r="Y234" i="1"/>
  <c r="V234" i="1" s="1"/>
  <c r="Y235" i="1"/>
  <c r="V235" i="1" s="1"/>
  <c r="Y236" i="1"/>
  <c r="V236" i="1" s="1"/>
  <c r="Y237" i="1"/>
  <c r="V237" i="1" s="1"/>
  <c r="Y238" i="1"/>
  <c r="V238" i="1" s="1"/>
  <c r="Y239" i="1"/>
  <c r="V239" i="1" s="1"/>
  <c r="Y240" i="1"/>
  <c r="V240" i="1" s="1"/>
  <c r="Y241" i="1"/>
  <c r="V241" i="1" s="1"/>
  <c r="Y242" i="1"/>
  <c r="V242" i="1" s="1"/>
  <c r="Y261" i="1"/>
  <c r="V261" i="1" s="1"/>
  <c r="Y264" i="1"/>
  <c r="V264" i="1" s="1"/>
  <c r="Y265" i="1"/>
  <c r="V265" i="1" s="1"/>
  <c r="Y266" i="1"/>
  <c r="V266" i="1" s="1"/>
  <c r="Y267" i="1"/>
  <c r="V267" i="1" s="1"/>
  <c r="Y268" i="1"/>
  <c r="V268" i="1" s="1"/>
  <c r="Y269" i="1"/>
  <c r="V269" i="1" s="1"/>
  <c r="Y270" i="1"/>
  <c r="V270" i="1" s="1"/>
  <c r="I270" i="1" s="1"/>
  <c r="Y271" i="1"/>
  <c r="V271" i="1" s="1"/>
  <c r="Y272" i="1"/>
  <c r="V272" i="1" s="1"/>
  <c r="Y273" i="1"/>
  <c r="V273" i="1" s="1"/>
  <c r="Y274" i="1"/>
  <c r="V274" i="1" s="1"/>
  <c r="Y275" i="1"/>
  <c r="V275" i="1" s="1"/>
  <c r="Y276" i="1"/>
  <c r="V276" i="1" s="1"/>
  <c r="Y277" i="1"/>
  <c r="V277" i="1" s="1"/>
  <c r="Y278" i="1"/>
  <c r="V278" i="1" s="1"/>
  <c r="Y279" i="1"/>
  <c r="V279" i="1" s="1"/>
  <c r="Y280" i="1"/>
  <c r="V280" i="1" s="1"/>
  <c r="Y281" i="1"/>
  <c r="V281" i="1" s="1"/>
  <c r="Y282" i="1"/>
  <c r="V282" i="1" s="1"/>
  <c r="Y289" i="1"/>
  <c r="V289" i="1" s="1"/>
  <c r="Y292" i="1"/>
  <c r="V292" i="1" s="1"/>
  <c r="Y293" i="1"/>
  <c r="V293" i="1" s="1"/>
  <c r="Y294" i="1"/>
  <c r="V294" i="1" s="1"/>
  <c r="Y295" i="1"/>
  <c r="V295" i="1" s="1"/>
  <c r="Y296" i="1"/>
  <c r="V296" i="1" s="1"/>
  <c r="Y297" i="1"/>
  <c r="V297" i="1" s="1"/>
  <c r="Y298" i="1"/>
  <c r="V298" i="1" s="1"/>
  <c r="Y299" i="1"/>
  <c r="V299" i="1" s="1"/>
  <c r="Y300" i="1"/>
  <c r="V300" i="1" s="1"/>
  <c r="Y301" i="1"/>
  <c r="V301" i="1" s="1"/>
  <c r="Y302" i="1"/>
  <c r="V302" i="1" s="1"/>
  <c r="I302" i="1" s="1"/>
  <c r="Y303" i="1"/>
  <c r="V303" i="1" s="1"/>
  <c r="Y304" i="1"/>
  <c r="V304" i="1" s="1"/>
  <c r="Y305" i="1"/>
  <c r="V305" i="1" s="1"/>
  <c r="Y306" i="1"/>
  <c r="V306" i="1" s="1"/>
  <c r="Y312" i="1"/>
  <c r="V312" i="1" s="1"/>
  <c r="H312" i="1" s="1"/>
  <c r="Y313" i="1"/>
  <c r="V313" i="1" s="1"/>
  <c r="Y314" i="1"/>
  <c r="V314" i="1" s="1"/>
  <c r="H314" i="1" s="1"/>
  <c r="Y315" i="1"/>
  <c r="V315" i="1" s="1"/>
  <c r="Y316" i="1"/>
  <c r="V316" i="1" s="1"/>
  <c r="I316" i="1" s="1"/>
  <c r="Y317" i="1"/>
  <c r="V317" i="1" s="1"/>
  <c r="Y318" i="1"/>
  <c r="V318" i="1" s="1"/>
  <c r="I318" i="1" s="1"/>
  <c r="Y325" i="1"/>
  <c r="V325" i="1" s="1"/>
  <c r="Y326" i="1"/>
  <c r="V326" i="1" s="1"/>
  <c r="I326" i="1" s="1"/>
  <c r="Y327" i="1"/>
  <c r="V327" i="1" s="1"/>
  <c r="Y328" i="1"/>
  <c r="V328" i="1" s="1"/>
  <c r="I328" i="1" s="1"/>
  <c r="Y329" i="1"/>
  <c r="V329" i="1" s="1"/>
  <c r="Y330" i="1"/>
  <c r="V330" i="1" s="1"/>
  <c r="H330" i="1" s="1"/>
  <c r="Y331" i="1"/>
  <c r="V331" i="1" s="1"/>
  <c r="Y332" i="1"/>
  <c r="V332" i="1" s="1"/>
  <c r="I332" i="1" s="1"/>
  <c r="Y333" i="1"/>
  <c r="V333" i="1" s="1"/>
  <c r="Y334" i="1"/>
  <c r="V334" i="1" s="1"/>
  <c r="Y335" i="1"/>
  <c r="V335" i="1" s="1"/>
  <c r="Y336" i="1"/>
  <c r="V336" i="1" s="1"/>
  <c r="H336" i="1" s="1"/>
  <c r="Y337" i="1"/>
  <c r="V337" i="1" s="1"/>
  <c r="Y338" i="1"/>
  <c r="V338" i="1" s="1"/>
  <c r="Y339" i="1"/>
  <c r="V339" i="1" s="1"/>
  <c r="Y340" i="1"/>
  <c r="V340" i="1" s="1"/>
  <c r="Y341" i="1"/>
  <c r="V341" i="1" s="1"/>
  <c r="Y342" i="1"/>
  <c r="V342" i="1" s="1"/>
  <c r="Y343" i="1"/>
  <c r="V343" i="1" s="1"/>
  <c r="Y344" i="1"/>
  <c r="V344" i="1" s="1"/>
  <c r="Y345" i="1"/>
  <c r="V345" i="1" s="1"/>
  <c r="H345" i="1" s="1"/>
  <c r="Y346" i="1"/>
  <c r="V346" i="1" s="1"/>
  <c r="Y347" i="1"/>
  <c r="V347" i="1" s="1"/>
  <c r="Y348" i="1"/>
  <c r="V348" i="1" s="1"/>
  <c r="Y349" i="1"/>
  <c r="V349" i="1" s="1"/>
  <c r="Y350" i="1"/>
  <c r="V350" i="1" s="1"/>
  <c r="H350" i="1" s="1"/>
  <c r="Y351" i="1"/>
  <c r="V351" i="1" s="1"/>
  <c r="Y352" i="1"/>
  <c r="V352" i="1" s="1"/>
  <c r="Y353" i="1"/>
  <c r="V353" i="1" s="1"/>
  <c r="Y354" i="1"/>
  <c r="V354" i="1" s="1"/>
  <c r="Y355" i="1"/>
  <c r="V355" i="1" s="1"/>
  <c r="Y356" i="1"/>
  <c r="V356" i="1" s="1"/>
  <c r="H356" i="1" s="1"/>
  <c r="Y357" i="1"/>
  <c r="V357" i="1" s="1"/>
  <c r="Y358" i="1"/>
  <c r="V358" i="1" s="1"/>
  <c r="Y359" i="1"/>
  <c r="V359" i="1" s="1"/>
  <c r="Y360" i="1"/>
  <c r="V360" i="1" s="1"/>
  <c r="Y361" i="1"/>
  <c r="V361" i="1" s="1"/>
  <c r="Y362" i="1"/>
  <c r="V362" i="1" s="1"/>
  <c r="Y363" i="1"/>
  <c r="V363" i="1" s="1"/>
  <c r="Y364" i="1"/>
  <c r="V364" i="1" s="1"/>
  <c r="Y365" i="1"/>
  <c r="V365" i="1" s="1"/>
  <c r="Y366" i="1"/>
  <c r="V366" i="1" s="1"/>
  <c r="Y367" i="1"/>
  <c r="V367" i="1" s="1"/>
  <c r="Y368" i="1"/>
  <c r="V368" i="1" s="1"/>
  <c r="Y369" i="1"/>
  <c r="V369" i="1" s="1"/>
  <c r="Y370" i="1"/>
  <c r="V370" i="1" s="1"/>
  <c r="Y371" i="1"/>
  <c r="V371" i="1" s="1"/>
  <c r="Y372" i="1"/>
  <c r="V372" i="1" s="1"/>
  <c r="Y373" i="1"/>
  <c r="V373" i="1" s="1"/>
  <c r="Y374" i="1"/>
  <c r="V374" i="1" s="1"/>
  <c r="Y375" i="1"/>
  <c r="V375" i="1" s="1"/>
  <c r="Y376" i="1"/>
  <c r="V376" i="1" s="1"/>
  <c r="Y377" i="1"/>
  <c r="V377" i="1" s="1"/>
  <c r="Y378" i="1"/>
  <c r="V378" i="1" s="1"/>
  <c r="Y379" i="1"/>
  <c r="V379" i="1" s="1"/>
  <c r="Y380" i="1"/>
  <c r="V380" i="1" s="1"/>
  <c r="H380" i="1" s="1"/>
  <c r="Y381" i="1"/>
  <c r="V381" i="1" s="1"/>
  <c r="H381" i="1" s="1"/>
  <c r="Y382" i="1"/>
  <c r="V382" i="1" s="1"/>
  <c r="J382" i="1" s="1"/>
  <c r="Y383" i="1"/>
  <c r="V383" i="1" s="1"/>
  <c r="Y384" i="1"/>
  <c r="V384" i="1" s="1"/>
  <c r="H384" i="1" s="1"/>
  <c r="Y385" i="1"/>
  <c r="V385" i="1" s="1"/>
  <c r="H385" i="1" s="1"/>
  <c r="Y386" i="1"/>
  <c r="V386" i="1" s="1"/>
  <c r="H386" i="1" s="1"/>
  <c r="Y387" i="1"/>
  <c r="V387" i="1" s="1"/>
  <c r="Y388" i="1"/>
  <c r="V388" i="1" s="1"/>
  <c r="Y389" i="1"/>
  <c r="V389" i="1" s="1"/>
  <c r="Y390" i="1"/>
  <c r="V390" i="1" s="1"/>
  <c r="Y391" i="1"/>
  <c r="V391" i="1" s="1"/>
  <c r="Y392" i="1"/>
  <c r="V392" i="1" s="1"/>
  <c r="Y393" i="1"/>
  <c r="V393" i="1" s="1"/>
  <c r="Y394" i="1"/>
  <c r="V394" i="1" s="1"/>
  <c r="Y395" i="1"/>
  <c r="V395" i="1" s="1"/>
  <c r="Y396" i="1"/>
  <c r="V396" i="1" s="1"/>
  <c r="Y397" i="1"/>
  <c r="V397" i="1" s="1"/>
  <c r="I397" i="1" s="1"/>
  <c r="Y398" i="1"/>
  <c r="V398" i="1" s="1"/>
  <c r="Y399" i="1"/>
  <c r="V399" i="1" s="1"/>
  <c r="Y400" i="1"/>
  <c r="V400" i="1" s="1"/>
  <c r="Y401" i="1"/>
  <c r="V401" i="1" s="1"/>
  <c r="Y402" i="1"/>
  <c r="V402" i="1" s="1"/>
  <c r="Y403" i="1"/>
  <c r="V403" i="1" s="1"/>
  <c r="Y404" i="1"/>
  <c r="V404" i="1" s="1"/>
  <c r="J404" i="1" s="1"/>
  <c r="Y405" i="1"/>
  <c r="V405" i="1" s="1"/>
  <c r="Y406" i="1"/>
  <c r="V406" i="1" s="1"/>
  <c r="Y9" i="1"/>
  <c r="V9" i="1" s="1"/>
  <c r="V10" i="1"/>
  <c r="V11" i="1"/>
  <c r="V106" i="1"/>
  <c r="J106" i="1" s="1"/>
  <c r="V107" i="1"/>
  <c r="V122" i="1"/>
  <c r="V123" i="1"/>
  <c r="V155" i="1"/>
  <c r="V170" i="1"/>
  <c r="V171" i="1"/>
  <c r="V203" i="1"/>
  <c r="V219" i="1"/>
  <c r="AH96" i="1"/>
  <c r="AH95" i="1"/>
  <c r="W9" i="1"/>
  <c r="H134" i="1"/>
  <c r="AH94" i="1"/>
  <c r="AH93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Y244" i="1" s="1"/>
  <c r="V244" i="1" s="1"/>
  <c r="H244" i="1" s="1"/>
  <c r="AH75" i="1"/>
  <c r="Y250" i="1" s="1"/>
  <c r="V250" i="1" s="1"/>
  <c r="AH76" i="1"/>
  <c r="Y262" i="1" s="1"/>
  <c r="V262" i="1" s="1"/>
  <c r="AH77" i="1"/>
  <c r="AH78" i="1"/>
  <c r="AH79" i="1"/>
  <c r="Y288" i="1" s="1"/>
  <c r="V288" i="1" s="1"/>
  <c r="AH80" i="1"/>
  <c r="Y290" i="1" s="1"/>
  <c r="V290" i="1" s="1"/>
  <c r="AH81" i="1"/>
  <c r="AH82" i="1"/>
  <c r="AH83" i="1"/>
  <c r="Y307" i="1" s="1"/>
  <c r="V307" i="1" s="1"/>
  <c r="AH84" i="1"/>
  <c r="Y319" i="1" s="1"/>
  <c r="V319" i="1" s="1"/>
  <c r="AH85" i="1"/>
  <c r="AH86" i="1"/>
  <c r="AH87" i="1"/>
  <c r="AH88" i="1"/>
  <c r="AH89" i="1"/>
  <c r="AH90" i="1"/>
  <c r="AH91" i="1"/>
  <c r="AH92" i="1"/>
  <c r="AH31" i="1"/>
  <c r="J3" i="2"/>
  <c r="Q4" i="2"/>
  <c r="Q5" i="2"/>
  <c r="Q6" i="2"/>
  <c r="Q7" i="2"/>
  <c r="Q8" i="2"/>
  <c r="Q9" i="2"/>
  <c r="Q10" i="2"/>
  <c r="Q11" i="2"/>
  <c r="Q12" i="2"/>
  <c r="Q3" i="2"/>
  <c r="R11" i="2"/>
  <c r="U265" i="1" a="1"/>
  <c r="U265" i="1" s="1"/>
  <c r="O11" i="2"/>
  <c r="N11" i="2"/>
  <c r="E11" i="2"/>
  <c r="O10" i="2"/>
  <c r="U139" i="1" a="1"/>
  <c r="U139" i="1" s="1"/>
  <c r="D12" i="2"/>
  <c r="C10" i="2"/>
  <c r="E10" i="2" s="1"/>
  <c r="R10" i="2" s="1"/>
  <c r="C12" i="2"/>
  <c r="N10" i="2"/>
  <c r="B12" i="2"/>
  <c r="N12" i="2" s="1"/>
  <c r="H24" i="1"/>
  <c r="I24" i="1"/>
  <c r="J24" i="1"/>
  <c r="H26" i="1"/>
  <c r="I26" i="1"/>
  <c r="J26" i="1"/>
  <c r="H27" i="1"/>
  <c r="I27" i="1"/>
  <c r="J27" i="1"/>
  <c r="H29" i="1"/>
  <c r="I29" i="1"/>
  <c r="J29" i="1"/>
  <c r="H31" i="1"/>
  <c r="I31" i="1"/>
  <c r="J31" i="1"/>
  <c r="H32" i="1"/>
  <c r="I32" i="1"/>
  <c r="J32" i="1"/>
  <c r="H34" i="1"/>
  <c r="I34" i="1"/>
  <c r="J34" i="1"/>
  <c r="H36" i="1"/>
  <c r="I36" i="1"/>
  <c r="J36" i="1"/>
  <c r="H37" i="1"/>
  <c r="I37" i="1"/>
  <c r="J37" i="1"/>
  <c r="H38" i="1"/>
  <c r="I38" i="1"/>
  <c r="J38" i="1"/>
  <c r="H39" i="1"/>
  <c r="I39" i="1"/>
  <c r="J39" i="1"/>
  <c r="H41" i="1"/>
  <c r="I41" i="1"/>
  <c r="J41" i="1"/>
  <c r="H42" i="1"/>
  <c r="I42" i="1"/>
  <c r="J42" i="1"/>
  <c r="H44" i="1"/>
  <c r="I44" i="1"/>
  <c r="J44" i="1"/>
  <c r="H46" i="1"/>
  <c r="I46" i="1"/>
  <c r="J46" i="1"/>
  <c r="H47" i="1"/>
  <c r="I47" i="1"/>
  <c r="J47" i="1"/>
  <c r="H48" i="1"/>
  <c r="I48" i="1"/>
  <c r="J48" i="1"/>
  <c r="H49" i="1"/>
  <c r="I49" i="1"/>
  <c r="J49" i="1"/>
  <c r="H51" i="1"/>
  <c r="I51" i="1"/>
  <c r="J51" i="1"/>
  <c r="H52" i="1"/>
  <c r="I52" i="1"/>
  <c r="J52" i="1"/>
  <c r="H53" i="1"/>
  <c r="I53" i="1"/>
  <c r="J53" i="1"/>
  <c r="H54" i="1"/>
  <c r="I54" i="1"/>
  <c r="J54" i="1"/>
  <c r="H56" i="1"/>
  <c r="I56" i="1"/>
  <c r="J56" i="1"/>
  <c r="H57" i="1"/>
  <c r="I57" i="1"/>
  <c r="J57" i="1"/>
  <c r="H58" i="1"/>
  <c r="I58" i="1"/>
  <c r="J58" i="1"/>
  <c r="H59" i="1"/>
  <c r="I59" i="1"/>
  <c r="J59" i="1"/>
  <c r="H61" i="1"/>
  <c r="I61" i="1"/>
  <c r="J61" i="1"/>
  <c r="H62" i="1"/>
  <c r="I62" i="1"/>
  <c r="J62" i="1"/>
  <c r="H63" i="1"/>
  <c r="I63" i="1"/>
  <c r="J63" i="1"/>
  <c r="H64" i="1"/>
  <c r="I64" i="1"/>
  <c r="J64" i="1"/>
  <c r="H66" i="1"/>
  <c r="I66" i="1"/>
  <c r="J66" i="1"/>
  <c r="H68" i="1"/>
  <c r="I68" i="1"/>
  <c r="J68" i="1"/>
  <c r="H69" i="1"/>
  <c r="I69" i="1"/>
  <c r="J69" i="1"/>
  <c r="H71" i="1"/>
  <c r="I71" i="1"/>
  <c r="J71" i="1"/>
  <c r="H72" i="1"/>
  <c r="I72" i="1"/>
  <c r="J72" i="1"/>
  <c r="H73" i="1"/>
  <c r="I73" i="1"/>
  <c r="J73" i="1"/>
  <c r="H74" i="1"/>
  <c r="I74" i="1"/>
  <c r="J74" i="1"/>
  <c r="H76" i="1"/>
  <c r="I76" i="1"/>
  <c r="J76" i="1"/>
  <c r="H77" i="1"/>
  <c r="I77" i="1"/>
  <c r="J77" i="1"/>
  <c r="H78" i="1"/>
  <c r="I78" i="1"/>
  <c r="J78" i="1"/>
  <c r="H79" i="1"/>
  <c r="I79" i="1"/>
  <c r="J79" i="1"/>
  <c r="H82" i="1"/>
  <c r="I82" i="1"/>
  <c r="J82" i="1"/>
  <c r="H83" i="1"/>
  <c r="I83" i="1"/>
  <c r="J83" i="1"/>
  <c r="H84" i="1"/>
  <c r="I84" i="1"/>
  <c r="J84" i="1"/>
  <c r="H86" i="1"/>
  <c r="I86" i="1"/>
  <c r="J86" i="1"/>
  <c r="H88" i="1"/>
  <c r="I88" i="1"/>
  <c r="J88" i="1"/>
  <c r="H89" i="1"/>
  <c r="I89" i="1"/>
  <c r="J89" i="1"/>
  <c r="H91" i="1"/>
  <c r="I91" i="1"/>
  <c r="J91" i="1"/>
  <c r="H92" i="1"/>
  <c r="I92" i="1"/>
  <c r="J92" i="1"/>
  <c r="H93" i="1"/>
  <c r="I93" i="1"/>
  <c r="J93" i="1"/>
  <c r="H95" i="1"/>
  <c r="I95" i="1"/>
  <c r="J95" i="1"/>
  <c r="H96" i="1"/>
  <c r="I96" i="1"/>
  <c r="J96" i="1"/>
  <c r="H97" i="1"/>
  <c r="I97" i="1"/>
  <c r="J97" i="1"/>
  <c r="H98" i="1"/>
  <c r="I98" i="1"/>
  <c r="J98" i="1"/>
  <c r="H99" i="1"/>
  <c r="I99" i="1"/>
  <c r="J99" i="1"/>
  <c r="H100" i="1"/>
  <c r="I100" i="1"/>
  <c r="J100" i="1"/>
  <c r="H101" i="1"/>
  <c r="I101" i="1"/>
  <c r="J101" i="1"/>
  <c r="H103" i="1"/>
  <c r="I103" i="1"/>
  <c r="J103" i="1"/>
  <c r="H104" i="1"/>
  <c r="I104" i="1"/>
  <c r="J104" i="1"/>
  <c r="H107" i="1"/>
  <c r="I107" i="1"/>
  <c r="J107" i="1"/>
  <c r="H108" i="1"/>
  <c r="I108" i="1"/>
  <c r="J108" i="1"/>
  <c r="H110" i="1"/>
  <c r="I110" i="1"/>
  <c r="J110" i="1"/>
  <c r="H111" i="1"/>
  <c r="I111" i="1"/>
  <c r="J111" i="1"/>
  <c r="H112" i="1"/>
  <c r="I112" i="1"/>
  <c r="J112" i="1"/>
  <c r="H114" i="1"/>
  <c r="I114" i="1"/>
  <c r="J114" i="1"/>
  <c r="H115" i="1"/>
  <c r="I115" i="1"/>
  <c r="J115" i="1"/>
  <c r="H116" i="1"/>
  <c r="I116" i="1"/>
  <c r="J116" i="1"/>
  <c r="H118" i="1"/>
  <c r="I118" i="1"/>
  <c r="J118" i="1"/>
  <c r="H120" i="1"/>
  <c r="I120" i="1"/>
  <c r="J120" i="1"/>
  <c r="H121" i="1"/>
  <c r="I121" i="1"/>
  <c r="J121" i="1"/>
  <c r="H122" i="1"/>
  <c r="I122" i="1"/>
  <c r="J122" i="1"/>
  <c r="H123" i="1"/>
  <c r="I123" i="1"/>
  <c r="J123" i="1"/>
  <c r="H124" i="1"/>
  <c r="I124" i="1"/>
  <c r="J124" i="1"/>
  <c r="H125" i="1"/>
  <c r="I125" i="1"/>
  <c r="J125" i="1"/>
  <c r="H126" i="1"/>
  <c r="I126" i="1"/>
  <c r="J126" i="1"/>
  <c r="H127" i="1"/>
  <c r="I127" i="1"/>
  <c r="J127" i="1"/>
  <c r="H129" i="1"/>
  <c r="I129" i="1"/>
  <c r="J129" i="1"/>
  <c r="H132" i="1"/>
  <c r="I132" i="1"/>
  <c r="J132" i="1"/>
  <c r="H133" i="1"/>
  <c r="I133" i="1"/>
  <c r="J133" i="1"/>
  <c r="H135" i="1"/>
  <c r="I135" i="1"/>
  <c r="J135" i="1"/>
  <c r="H136" i="1"/>
  <c r="I136" i="1"/>
  <c r="J136" i="1"/>
  <c r="H137" i="1"/>
  <c r="I137" i="1"/>
  <c r="J137" i="1"/>
  <c r="H140" i="1"/>
  <c r="I140" i="1"/>
  <c r="J140" i="1"/>
  <c r="H141" i="1"/>
  <c r="I141" i="1"/>
  <c r="J141" i="1"/>
  <c r="H142" i="1"/>
  <c r="I142" i="1"/>
  <c r="J142" i="1"/>
  <c r="H143" i="1"/>
  <c r="I143" i="1"/>
  <c r="J143" i="1"/>
  <c r="H144" i="1"/>
  <c r="I144" i="1"/>
  <c r="J144" i="1"/>
  <c r="H145" i="1"/>
  <c r="I145" i="1"/>
  <c r="J145" i="1"/>
  <c r="H146" i="1"/>
  <c r="I146" i="1"/>
  <c r="J146" i="1"/>
  <c r="H147" i="1"/>
  <c r="I147" i="1"/>
  <c r="J147" i="1"/>
  <c r="H149" i="1"/>
  <c r="I149" i="1"/>
  <c r="J149" i="1"/>
  <c r="H152" i="1"/>
  <c r="I152" i="1"/>
  <c r="J152" i="1"/>
  <c r="H153" i="1"/>
  <c r="I153" i="1"/>
  <c r="J153" i="1"/>
  <c r="H154" i="1"/>
  <c r="I154" i="1"/>
  <c r="J154" i="1"/>
  <c r="H155" i="1"/>
  <c r="I155" i="1"/>
  <c r="J155" i="1"/>
  <c r="H158" i="1"/>
  <c r="I158" i="1"/>
  <c r="J158" i="1"/>
  <c r="H159" i="1"/>
  <c r="I159" i="1"/>
  <c r="J159" i="1"/>
  <c r="H160" i="1"/>
  <c r="I160" i="1"/>
  <c r="J160" i="1"/>
  <c r="H161" i="1"/>
  <c r="I161" i="1"/>
  <c r="J161" i="1"/>
  <c r="H162" i="1"/>
  <c r="I162" i="1"/>
  <c r="J162" i="1"/>
  <c r="H163" i="1"/>
  <c r="I163" i="1"/>
  <c r="J163" i="1"/>
  <c r="H164" i="1"/>
  <c r="I164" i="1"/>
  <c r="J164" i="1"/>
  <c r="H165" i="1"/>
  <c r="I165" i="1"/>
  <c r="J165" i="1"/>
  <c r="H166" i="1"/>
  <c r="I166" i="1"/>
  <c r="J166" i="1"/>
  <c r="H167" i="1"/>
  <c r="I167" i="1"/>
  <c r="J167" i="1"/>
  <c r="H170" i="1"/>
  <c r="I170" i="1"/>
  <c r="J170" i="1"/>
  <c r="H171" i="1"/>
  <c r="I171" i="1"/>
  <c r="J171" i="1"/>
  <c r="H172" i="1"/>
  <c r="I172" i="1"/>
  <c r="J172" i="1"/>
  <c r="H173" i="1"/>
  <c r="I173" i="1"/>
  <c r="J173" i="1"/>
  <c r="H174" i="1"/>
  <c r="I174" i="1"/>
  <c r="J174" i="1"/>
  <c r="H175" i="1"/>
  <c r="I175" i="1"/>
  <c r="J175" i="1"/>
  <c r="H176" i="1"/>
  <c r="I176" i="1"/>
  <c r="J176" i="1"/>
  <c r="H177" i="1"/>
  <c r="I177" i="1"/>
  <c r="J177" i="1"/>
  <c r="H179" i="1"/>
  <c r="I179" i="1"/>
  <c r="J179" i="1"/>
  <c r="H182" i="1"/>
  <c r="I182" i="1"/>
  <c r="J182" i="1"/>
  <c r="H183" i="1"/>
  <c r="I183" i="1"/>
  <c r="J183" i="1"/>
  <c r="H184" i="1"/>
  <c r="I184" i="1"/>
  <c r="J184" i="1"/>
  <c r="H185" i="1"/>
  <c r="I185" i="1"/>
  <c r="J185" i="1"/>
  <c r="H186" i="1"/>
  <c r="I186" i="1"/>
  <c r="J186" i="1"/>
  <c r="H187" i="1"/>
  <c r="I187" i="1"/>
  <c r="J187" i="1"/>
  <c r="H188" i="1"/>
  <c r="I188" i="1"/>
  <c r="J188" i="1"/>
  <c r="H189" i="1"/>
  <c r="I189" i="1"/>
  <c r="J189" i="1"/>
  <c r="H191" i="1"/>
  <c r="I191" i="1"/>
  <c r="J191" i="1"/>
  <c r="H192" i="1"/>
  <c r="I192" i="1"/>
  <c r="J192" i="1"/>
  <c r="H194" i="1"/>
  <c r="I194" i="1"/>
  <c r="J194" i="1"/>
  <c r="H195" i="1"/>
  <c r="I195" i="1"/>
  <c r="J195" i="1"/>
  <c r="H196" i="1"/>
  <c r="I196" i="1"/>
  <c r="J196" i="1"/>
  <c r="H197" i="1"/>
  <c r="I197" i="1"/>
  <c r="J197" i="1"/>
  <c r="H198" i="1"/>
  <c r="I198" i="1"/>
  <c r="J198" i="1"/>
  <c r="H199" i="1"/>
  <c r="I199" i="1"/>
  <c r="J199" i="1"/>
  <c r="H200" i="1"/>
  <c r="I200" i="1"/>
  <c r="J200" i="1"/>
  <c r="H201" i="1"/>
  <c r="I201" i="1"/>
  <c r="J201" i="1"/>
  <c r="H203" i="1"/>
  <c r="I203" i="1"/>
  <c r="J203" i="1"/>
  <c r="H204" i="1"/>
  <c r="I204" i="1"/>
  <c r="J204" i="1"/>
  <c r="H205" i="1"/>
  <c r="I205" i="1"/>
  <c r="J205" i="1"/>
  <c r="H207" i="1"/>
  <c r="I207" i="1"/>
  <c r="J207" i="1"/>
  <c r="H209" i="1"/>
  <c r="I209" i="1"/>
  <c r="J209" i="1"/>
  <c r="H210" i="1"/>
  <c r="I210" i="1"/>
  <c r="J210" i="1"/>
  <c r="H211" i="1"/>
  <c r="I211" i="1"/>
  <c r="J211" i="1"/>
  <c r="H213" i="1"/>
  <c r="I213" i="1"/>
  <c r="J213" i="1"/>
  <c r="H214" i="1"/>
  <c r="I214" i="1"/>
  <c r="J214" i="1"/>
  <c r="H215" i="1"/>
  <c r="I215" i="1"/>
  <c r="J215" i="1"/>
  <c r="H216" i="1"/>
  <c r="I216" i="1"/>
  <c r="J216" i="1"/>
  <c r="H217" i="1"/>
  <c r="I217" i="1"/>
  <c r="J217" i="1"/>
  <c r="H218" i="1"/>
  <c r="I218" i="1"/>
  <c r="J218" i="1"/>
  <c r="H219" i="1"/>
  <c r="I219" i="1"/>
  <c r="J219" i="1"/>
  <c r="H220" i="1"/>
  <c r="I220" i="1"/>
  <c r="J220" i="1"/>
  <c r="H221" i="1"/>
  <c r="I221" i="1"/>
  <c r="J221" i="1"/>
  <c r="H222" i="1"/>
  <c r="I222" i="1"/>
  <c r="J222" i="1"/>
  <c r="H223" i="1"/>
  <c r="I223" i="1"/>
  <c r="J223" i="1"/>
  <c r="H224" i="1"/>
  <c r="I224" i="1"/>
  <c r="J224" i="1"/>
  <c r="H225" i="1"/>
  <c r="I225" i="1"/>
  <c r="J225" i="1"/>
  <c r="H227" i="1"/>
  <c r="I227" i="1"/>
  <c r="J227" i="1"/>
  <c r="H228" i="1"/>
  <c r="I228" i="1"/>
  <c r="J228" i="1"/>
  <c r="H230" i="1"/>
  <c r="I230" i="1"/>
  <c r="J230" i="1"/>
  <c r="H231" i="1"/>
  <c r="I231" i="1"/>
  <c r="J231" i="1"/>
  <c r="H232" i="1"/>
  <c r="I232" i="1"/>
  <c r="J232" i="1"/>
  <c r="H233" i="1"/>
  <c r="I233" i="1"/>
  <c r="J233" i="1"/>
  <c r="H234" i="1"/>
  <c r="I234" i="1"/>
  <c r="J234" i="1"/>
  <c r="H235" i="1"/>
  <c r="I235" i="1"/>
  <c r="J235" i="1"/>
  <c r="H236" i="1"/>
  <c r="I236" i="1"/>
  <c r="J236" i="1"/>
  <c r="H237" i="1"/>
  <c r="I237" i="1"/>
  <c r="J237" i="1"/>
  <c r="H238" i="1"/>
  <c r="I238" i="1"/>
  <c r="J238" i="1"/>
  <c r="H239" i="1"/>
  <c r="I239" i="1"/>
  <c r="J239" i="1"/>
  <c r="H240" i="1"/>
  <c r="I240" i="1"/>
  <c r="J240" i="1"/>
  <c r="H241" i="1"/>
  <c r="I241" i="1"/>
  <c r="J241" i="1"/>
  <c r="H242" i="1"/>
  <c r="I242" i="1"/>
  <c r="J242" i="1"/>
  <c r="H243" i="1"/>
  <c r="I243" i="1"/>
  <c r="J243" i="1"/>
  <c r="H249" i="1"/>
  <c r="I249" i="1"/>
  <c r="J249" i="1"/>
  <c r="H250" i="1"/>
  <c r="I250" i="1"/>
  <c r="J250" i="1"/>
  <c r="H255" i="1"/>
  <c r="I255" i="1"/>
  <c r="J255" i="1"/>
  <c r="H256" i="1"/>
  <c r="I256" i="1"/>
  <c r="J256" i="1"/>
  <c r="H257" i="1"/>
  <c r="I257" i="1"/>
  <c r="J257" i="1"/>
  <c r="H259" i="1"/>
  <c r="I259" i="1"/>
  <c r="J259" i="1"/>
  <c r="H261" i="1"/>
  <c r="I261" i="1"/>
  <c r="J261" i="1"/>
  <c r="H263" i="1"/>
  <c r="I263" i="1"/>
  <c r="J263" i="1"/>
  <c r="H264" i="1"/>
  <c r="I264" i="1"/>
  <c r="J264" i="1"/>
  <c r="H267" i="1"/>
  <c r="I267" i="1"/>
  <c r="J267" i="1"/>
  <c r="H268" i="1"/>
  <c r="I268" i="1"/>
  <c r="J268" i="1"/>
  <c r="H269" i="1"/>
  <c r="I269" i="1"/>
  <c r="J269" i="1"/>
  <c r="H271" i="1"/>
  <c r="I271" i="1"/>
  <c r="J271" i="1"/>
  <c r="H272" i="1"/>
  <c r="I272" i="1"/>
  <c r="J272" i="1"/>
  <c r="H273" i="1"/>
  <c r="I273" i="1"/>
  <c r="J273" i="1"/>
  <c r="H274" i="1"/>
  <c r="I274" i="1"/>
  <c r="J274" i="1"/>
  <c r="H275" i="1"/>
  <c r="I275" i="1"/>
  <c r="J275" i="1"/>
  <c r="H276" i="1"/>
  <c r="I276" i="1"/>
  <c r="J276" i="1"/>
  <c r="H277" i="1"/>
  <c r="I277" i="1"/>
  <c r="J277" i="1"/>
  <c r="H278" i="1"/>
  <c r="I278" i="1"/>
  <c r="J278" i="1"/>
  <c r="H279" i="1"/>
  <c r="I279" i="1"/>
  <c r="J279" i="1"/>
  <c r="H280" i="1"/>
  <c r="I280" i="1"/>
  <c r="J280" i="1"/>
  <c r="H281" i="1"/>
  <c r="I281" i="1"/>
  <c r="J281" i="1"/>
  <c r="H282" i="1"/>
  <c r="I282" i="1"/>
  <c r="J282" i="1"/>
  <c r="H283" i="1"/>
  <c r="I283" i="1"/>
  <c r="J283" i="1"/>
  <c r="H285" i="1"/>
  <c r="I285" i="1"/>
  <c r="J285" i="1"/>
  <c r="H286" i="1"/>
  <c r="I286" i="1"/>
  <c r="J286" i="1"/>
  <c r="H288" i="1"/>
  <c r="I288" i="1"/>
  <c r="J288" i="1"/>
  <c r="H289" i="1"/>
  <c r="I289" i="1"/>
  <c r="J289" i="1"/>
  <c r="H290" i="1"/>
  <c r="I290" i="1"/>
  <c r="J290" i="1"/>
  <c r="H291" i="1"/>
  <c r="I291" i="1"/>
  <c r="J291" i="1"/>
  <c r="H292" i="1"/>
  <c r="I292" i="1"/>
  <c r="J292" i="1"/>
  <c r="H293" i="1"/>
  <c r="I293" i="1"/>
  <c r="J293" i="1"/>
  <c r="H294" i="1"/>
  <c r="I294" i="1"/>
  <c r="J294" i="1"/>
  <c r="H295" i="1"/>
  <c r="I295" i="1"/>
  <c r="J295" i="1"/>
  <c r="H296" i="1"/>
  <c r="I296" i="1"/>
  <c r="J296" i="1"/>
  <c r="H297" i="1"/>
  <c r="I297" i="1"/>
  <c r="J297" i="1"/>
  <c r="H298" i="1"/>
  <c r="I298" i="1"/>
  <c r="J298" i="1"/>
  <c r="H299" i="1"/>
  <c r="I299" i="1"/>
  <c r="J299" i="1"/>
  <c r="H300" i="1"/>
  <c r="I300" i="1"/>
  <c r="J300" i="1"/>
  <c r="H301" i="1"/>
  <c r="I301" i="1"/>
  <c r="J301" i="1"/>
  <c r="H303" i="1"/>
  <c r="I303" i="1"/>
  <c r="J303" i="1"/>
  <c r="H304" i="1"/>
  <c r="I304" i="1"/>
  <c r="J304" i="1"/>
  <c r="H305" i="1"/>
  <c r="I305" i="1"/>
  <c r="J305" i="1"/>
  <c r="H306" i="1"/>
  <c r="I306" i="1"/>
  <c r="J306" i="1"/>
  <c r="H307" i="1"/>
  <c r="I307" i="1"/>
  <c r="J307" i="1"/>
  <c r="H309" i="1"/>
  <c r="I309" i="1"/>
  <c r="J309" i="1"/>
  <c r="H310" i="1"/>
  <c r="I310" i="1"/>
  <c r="J310" i="1"/>
  <c r="H311" i="1"/>
  <c r="I311" i="1"/>
  <c r="J311" i="1"/>
  <c r="H313" i="1"/>
  <c r="I313" i="1"/>
  <c r="J313" i="1"/>
  <c r="H315" i="1"/>
  <c r="I315" i="1"/>
  <c r="J315" i="1"/>
  <c r="H317" i="1"/>
  <c r="I317" i="1"/>
  <c r="J317" i="1"/>
  <c r="H319" i="1"/>
  <c r="I319" i="1"/>
  <c r="J319" i="1"/>
  <c r="H321" i="1"/>
  <c r="I321" i="1"/>
  <c r="J321" i="1"/>
  <c r="H323" i="1"/>
  <c r="I323" i="1"/>
  <c r="J323" i="1"/>
  <c r="H324" i="1"/>
  <c r="I324" i="1"/>
  <c r="J324" i="1"/>
  <c r="H325" i="1"/>
  <c r="I325" i="1"/>
  <c r="J325" i="1"/>
  <c r="H327" i="1"/>
  <c r="I327" i="1"/>
  <c r="J327" i="1"/>
  <c r="H329" i="1"/>
  <c r="I329" i="1"/>
  <c r="J329" i="1"/>
  <c r="H331" i="1"/>
  <c r="I331" i="1"/>
  <c r="J331" i="1"/>
  <c r="H333" i="1"/>
  <c r="I333" i="1"/>
  <c r="J333" i="1"/>
  <c r="H334" i="1"/>
  <c r="I334" i="1"/>
  <c r="J334" i="1"/>
  <c r="H335" i="1"/>
  <c r="I335" i="1"/>
  <c r="J335" i="1"/>
  <c r="H337" i="1"/>
  <c r="I337" i="1"/>
  <c r="J337" i="1"/>
  <c r="H338" i="1"/>
  <c r="I338" i="1"/>
  <c r="J338" i="1"/>
  <c r="H339" i="1"/>
  <c r="I339" i="1"/>
  <c r="J339" i="1"/>
  <c r="H340" i="1"/>
  <c r="I340" i="1"/>
  <c r="J340" i="1"/>
  <c r="H341" i="1"/>
  <c r="I341" i="1"/>
  <c r="J341" i="1"/>
  <c r="H342" i="1"/>
  <c r="I342" i="1"/>
  <c r="J342" i="1"/>
  <c r="H343" i="1"/>
  <c r="I343" i="1"/>
  <c r="J343" i="1"/>
  <c r="H344" i="1"/>
  <c r="I344" i="1"/>
  <c r="J344" i="1"/>
  <c r="H346" i="1"/>
  <c r="I346" i="1"/>
  <c r="J346" i="1"/>
  <c r="H347" i="1"/>
  <c r="I347" i="1"/>
  <c r="J347" i="1"/>
  <c r="H348" i="1"/>
  <c r="I348" i="1"/>
  <c r="J348" i="1"/>
  <c r="H349" i="1"/>
  <c r="I349" i="1"/>
  <c r="J349" i="1"/>
  <c r="H351" i="1"/>
  <c r="I351" i="1"/>
  <c r="J351" i="1"/>
  <c r="H352" i="1"/>
  <c r="I352" i="1"/>
  <c r="J352" i="1"/>
  <c r="H353" i="1"/>
  <c r="I353" i="1"/>
  <c r="J353" i="1"/>
  <c r="H354" i="1"/>
  <c r="I354" i="1"/>
  <c r="J354" i="1"/>
  <c r="H355" i="1"/>
  <c r="I355" i="1"/>
  <c r="J355" i="1"/>
  <c r="H357" i="1"/>
  <c r="I357" i="1"/>
  <c r="J357" i="1"/>
  <c r="H358" i="1"/>
  <c r="I358" i="1"/>
  <c r="J358" i="1"/>
  <c r="H359" i="1"/>
  <c r="I359" i="1"/>
  <c r="J359" i="1"/>
  <c r="H360" i="1"/>
  <c r="I360" i="1"/>
  <c r="J360" i="1"/>
  <c r="H361" i="1"/>
  <c r="I361" i="1"/>
  <c r="J361" i="1"/>
  <c r="H362" i="1"/>
  <c r="I362" i="1"/>
  <c r="J362" i="1"/>
  <c r="H363" i="1"/>
  <c r="I363" i="1"/>
  <c r="J363" i="1"/>
  <c r="H364" i="1"/>
  <c r="I364" i="1"/>
  <c r="J364" i="1"/>
  <c r="H365" i="1"/>
  <c r="I365" i="1"/>
  <c r="J365" i="1"/>
  <c r="H366" i="1"/>
  <c r="I366" i="1"/>
  <c r="J366" i="1"/>
  <c r="H367" i="1"/>
  <c r="I367" i="1"/>
  <c r="J367" i="1"/>
  <c r="H368" i="1"/>
  <c r="I368" i="1"/>
  <c r="J368" i="1"/>
  <c r="H369" i="1"/>
  <c r="I369" i="1"/>
  <c r="J369" i="1"/>
  <c r="H370" i="1"/>
  <c r="I370" i="1"/>
  <c r="J370" i="1"/>
  <c r="H371" i="1"/>
  <c r="I371" i="1"/>
  <c r="J371" i="1"/>
  <c r="H372" i="1"/>
  <c r="I372" i="1"/>
  <c r="J372" i="1"/>
  <c r="H373" i="1"/>
  <c r="I373" i="1"/>
  <c r="J373" i="1"/>
  <c r="H374" i="1"/>
  <c r="I374" i="1"/>
  <c r="J374" i="1"/>
  <c r="H375" i="1"/>
  <c r="I375" i="1"/>
  <c r="J375" i="1"/>
  <c r="H376" i="1"/>
  <c r="I376" i="1"/>
  <c r="J376" i="1"/>
  <c r="H377" i="1"/>
  <c r="I377" i="1"/>
  <c r="J377" i="1"/>
  <c r="H378" i="1"/>
  <c r="I378" i="1"/>
  <c r="J378" i="1"/>
  <c r="H379" i="1"/>
  <c r="I379" i="1"/>
  <c r="J379" i="1"/>
  <c r="H383" i="1"/>
  <c r="I383" i="1"/>
  <c r="J383" i="1"/>
  <c r="H387" i="1"/>
  <c r="I387" i="1"/>
  <c r="J387" i="1"/>
  <c r="H388" i="1"/>
  <c r="I388" i="1"/>
  <c r="J388" i="1"/>
  <c r="H389" i="1"/>
  <c r="I389" i="1"/>
  <c r="J389" i="1"/>
  <c r="H391" i="1"/>
  <c r="I391" i="1"/>
  <c r="J391" i="1"/>
  <c r="H392" i="1"/>
  <c r="I392" i="1"/>
  <c r="J392" i="1"/>
  <c r="H393" i="1"/>
  <c r="I393" i="1"/>
  <c r="J393" i="1"/>
  <c r="H394" i="1"/>
  <c r="I394" i="1"/>
  <c r="J394" i="1"/>
  <c r="H395" i="1"/>
  <c r="I395" i="1"/>
  <c r="J395" i="1"/>
  <c r="H396" i="1"/>
  <c r="I396" i="1"/>
  <c r="J396" i="1"/>
  <c r="H398" i="1"/>
  <c r="I398" i="1"/>
  <c r="J398" i="1"/>
  <c r="H399" i="1"/>
  <c r="I399" i="1"/>
  <c r="J399" i="1"/>
  <c r="H400" i="1"/>
  <c r="I400" i="1"/>
  <c r="J400" i="1"/>
  <c r="H401" i="1"/>
  <c r="I401" i="1"/>
  <c r="J401" i="1"/>
  <c r="H402" i="1"/>
  <c r="I402" i="1"/>
  <c r="J402" i="1"/>
  <c r="H403" i="1"/>
  <c r="I403" i="1"/>
  <c r="J403" i="1"/>
  <c r="H405" i="1"/>
  <c r="I405" i="1"/>
  <c r="J405" i="1"/>
  <c r="H406" i="1"/>
  <c r="I406" i="1"/>
  <c r="J406" i="1"/>
  <c r="I10" i="1"/>
  <c r="I11" i="1"/>
  <c r="I12" i="1"/>
  <c r="I13" i="1"/>
  <c r="I14" i="1"/>
  <c r="I15" i="1"/>
  <c r="I16" i="1"/>
  <c r="I18" i="1"/>
  <c r="I19" i="1"/>
  <c r="I21" i="1"/>
  <c r="H10" i="1"/>
  <c r="H11" i="1"/>
  <c r="H12" i="1"/>
  <c r="H13" i="1"/>
  <c r="H14" i="1"/>
  <c r="H15" i="1"/>
  <c r="H16" i="1"/>
  <c r="H18" i="1"/>
  <c r="H19" i="1"/>
  <c r="H21" i="1"/>
  <c r="H9" i="1"/>
  <c r="I9" i="1"/>
  <c r="J10" i="1"/>
  <c r="J11" i="1"/>
  <c r="J12" i="1"/>
  <c r="J13" i="1"/>
  <c r="J14" i="1"/>
  <c r="J15" i="1"/>
  <c r="J16" i="1"/>
  <c r="J18" i="1"/>
  <c r="J19" i="1"/>
  <c r="J21" i="1"/>
  <c r="J9" i="1"/>
  <c r="H212" i="1"/>
  <c r="A409" i="1"/>
  <c r="A410" i="1" s="1"/>
  <c r="Y308" i="1" l="1"/>
  <c r="V308" i="1" s="1"/>
  <c r="I308" i="1" s="1"/>
  <c r="Y324" i="1"/>
  <c r="V324" i="1" s="1"/>
  <c r="Y253" i="1"/>
  <c r="V253" i="1" s="1"/>
  <c r="H253" i="1" s="1"/>
  <c r="Y243" i="1"/>
  <c r="V243" i="1" s="1"/>
  <c r="Y259" i="1"/>
  <c r="V259" i="1" s="1"/>
  <c r="Y257" i="1"/>
  <c r="V257" i="1" s="1"/>
  <c r="Y258" i="1"/>
  <c r="V258" i="1" s="1"/>
  <c r="J258" i="1" s="1"/>
  <c r="Y263" i="1"/>
  <c r="V263" i="1" s="1"/>
  <c r="Y260" i="1"/>
  <c r="V260" i="1" s="1"/>
  <c r="H260" i="1" s="1"/>
  <c r="Y311" i="1"/>
  <c r="V311" i="1" s="1"/>
  <c r="Y310" i="1"/>
  <c r="V310" i="1" s="1"/>
  <c r="Y309" i="1"/>
  <c r="V309" i="1" s="1"/>
  <c r="Y323" i="1"/>
  <c r="V323" i="1" s="1"/>
  <c r="Y322" i="1"/>
  <c r="V322" i="1" s="1"/>
  <c r="H322" i="1" s="1"/>
  <c r="Y321" i="1"/>
  <c r="V321" i="1" s="1"/>
  <c r="Y320" i="1"/>
  <c r="V320" i="1" s="1"/>
  <c r="H320" i="1" s="1"/>
  <c r="Y291" i="1"/>
  <c r="V291" i="1" s="1"/>
  <c r="Y285" i="1"/>
  <c r="V285" i="1" s="1"/>
  <c r="Y284" i="1"/>
  <c r="V284" i="1" s="1"/>
  <c r="H284" i="1" s="1"/>
  <c r="Y283" i="1"/>
  <c r="V283" i="1" s="1"/>
  <c r="Y287" i="1"/>
  <c r="V287" i="1" s="1"/>
  <c r="I287" i="1" s="1"/>
  <c r="Y286" i="1"/>
  <c r="V286" i="1" s="1"/>
  <c r="J30" i="1"/>
  <c r="H30" i="1"/>
  <c r="Y249" i="1"/>
  <c r="V249" i="1" s="1"/>
  <c r="Y248" i="1"/>
  <c r="V248" i="1" s="1"/>
  <c r="I248" i="1" s="1"/>
  <c r="Y247" i="1"/>
  <c r="V247" i="1" s="1"/>
  <c r="H247" i="1" s="1"/>
  <c r="Y246" i="1"/>
  <c r="V246" i="1" s="1"/>
  <c r="H246" i="1" s="1"/>
  <c r="Y245" i="1"/>
  <c r="V245" i="1" s="1"/>
  <c r="I245" i="1" s="1"/>
  <c r="Y256" i="1"/>
  <c r="V256" i="1" s="1"/>
  <c r="Y255" i="1"/>
  <c r="V255" i="1" s="1"/>
  <c r="Y254" i="1"/>
  <c r="V254" i="1" s="1"/>
  <c r="I254" i="1" s="1"/>
  <c r="Y252" i="1"/>
  <c r="V252" i="1" s="1"/>
  <c r="I252" i="1" s="1"/>
  <c r="Y251" i="1"/>
  <c r="V251" i="1" s="1"/>
  <c r="H251" i="1" s="1"/>
  <c r="I109" i="1"/>
  <c r="H109" i="1"/>
  <c r="J113" i="1"/>
  <c r="I113" i="1"/>
  <c r="I25" i="1"/>
  <c r="H25" i="1"/>
  <c r="I138" i="1"/>
  <c r="J138" i="1"/>
  <c r="H119" i="1"/>
  <c r="I119" i="1"/>
  <c r="J119" i="1"/>
  <c r="I23" i="1"/>
  <c r="H23" i="1"/>
  <c r="J23" i="1"/>
  <c r="J22" i="1"/>
  <c r="H22" i="1"/>
  <c r="J20" i="1"/>
  <c r="H20" i="1"/>
  <c r="I28" i="1"/>
  <c r="J28" i="1"/>
  <c r="H28" i="1"/>
  <c r="J33" i="1"/>
  <c r="I33" i="1"/>
  <c r="C138" i="2"/>
  <c r="I30" i="1"/>
  <c r="F137" i="2"/>
  <c r="J117" i="1"/>
  <c r="H270" i="1"/>
  <c r="G153" i="2"/>
  <c r="I117" i="1"/>
  <c r="C154" i="2"/>
  <c r="G137" i="2"/>
  <c r="G121" i="2"/>
  <c r="F138" i="2"/>
  <c r="J270" i="1"/>
  <c r="G138" i="2"/>
  <c r="G139" i="2"/>
  <c r="F155" i="2"/>
  <c r="C155" i="2"/>
  <c r="J109" i="1"/>
  <c r="J25" i="1"/>
  <c r="C137" i="2"/>
  <c r="G147" i="2"/>
  <c r="F146" i="2"/>
  <c r="C139" i="2"/>
  <c r="C126" i="2"/>
  <c r="G141" i="2"/>
  <c r="F141" i="2"/>
  <c r="F153" i="2"/>
  <c r="F147" i="2"/>
  <c r="F154" i="2"/>
  <c r="F150" i="2"/>
  <c r="C149" i="2"/>
  <c r="H70" i="1"/>
  <c r="I70" i="1"/>
  <c r="J70" i="1"/>
  <c r="H229" i="1"/>
  <c r="J229" i="1"/>
  <c r="H85" i="1"/>
  <c r="I85" i="1"/>
  <c r="H55" i="1"/>
  <c r="I55" i="1"/>
  <c r="J55" i="1"/>
  <c r="H390" i="1"/>
  <c r="J390" i="1"/>
  <c r="C129" i="2" s="1"/>
  <c r="I390" i="1"/>
  <c r="G152" i="2"/>
  <c r="C152" i="2"/>
  <c r="F151" i="2"/>
  <c r="G150" i="2"/>
  <c r="C150" i="2"/>
  <c r="C143" i="2"/>
  <c r="G143" i="2"/>
  <c r="F142" i="2"/>
  <c r="C146" i="2"/>
  <c r="G155" i="2"/>
  <c r="I148" i="1"/>
  <c r="J148" i="1"/>
  <c r="F139" i="2"/>
  <c r="G140" i="2"/>
  <c r="C144" i="2"/>
  <c r="C153" i="2"/>
  <c r="C147" i="2"/>
  <c r="F152" i="2"/>
  <c r="G154" i="2"/>
  <c r="I262" i="1"/>
  <c r="H262" i="1"/>
  <c r="G130" i="2"/>
  <c r="F140" i="2"/>
  <c r="F144" i="2"/>
  <c r="G151" i="2"/>
  <c r="G149" i="2"/>
  <c r="G144" i="2"/>
  <c r="F149" i="2"/>
  <c r="C148" i="2"/>
  <c r="G148" i="2"/>
  <c r="G146" i="2"/>
  <c r="C141" i="2"/>
  <c r="F143" i="2"/>
  <c r="C142" i="2"/>
  <c r="G142" i="2"/>
  <c r="H266" i="1"/>
  <c r="J266" i="1"/>
  <c r="F148" i="2"/>
  <c r="C140" i="2"/>
  <c r="C151" i="2"/>
  <c r="C130" i="2"/>
  <c r="I17" i="1"/>
  <c r="F124" i="2" s="1"/>
  <c r="G136" i="2"/>
  <c r="F136" i="2"/>
  <c r="C136" i="2"/>
  <c r="F145" i="2"/>
  <c r="G145" i="2"/>
  <c r="C145" i="2"/>
  <c r="I180" i="1"/>
  <c r="J397" i="1"/>
  <c r="G131" i="2" s="1"/>
  <c r="H180" i="1"/>
  <c r="H397" i="1"/>
  <c r="F131" i="2" s="1"/>
  <c r="H156" i="1"/>
  <c r="H102" i="1"/>
  <c r="J17" i="1"/>
  <c r="C132" i="2" s="1"/>
  <c r="J356" i="1"/>
  <c r="C122" i="2" s="1"/>
  <c r="J85" i="1"/>
  <c r="H328" i="1"/>
  <c r="H178" i="1"/>
  <c r="H308" i="1"/>
  <c r="J150" i="1"/>
  <c r="H138" i="1"/>
  <c r="J130" i="1"/>
  <c r="H87" i="1"/>
  <c r="I130" i="1"/>
  <c r="I178" i="1"/>
  <c r="J226" i="1"/>
  <c r="H226" i="1"/>
  <c r="H50" i="1"/>
  <c r="J190" i="1"/>
  <c r="J332" i="1"/>
  <c r="I81" i="1"/>
  <c r="J262" i="1"/>
  <c r="H81" i="1"/>
  <c r="J318" i="1"/>
  <c r="J316" i="1"/>
  <c r="J302" i="1"/>
  <c r="G126" i="2" s="1"/>
  <c r="I50" i="1"/>
  <c r="J253" i="1"/>
  <c r="I134" i="1"/>
  <c r="J134" i="1"/>
  <c r="H157" i="1"/>
  <c r="J151" i="1"/>
  <c r="H302" i="1"/>
  <c r="F126" i="2" s="1"/>
  <c r="I404" i="1"/>
  <c r="J328" i="1"/>
  <c r="H206" i="1"/>
  <c r="J156" i="1"/>
  <c r="I151" i="1"/>
  <c r="I128" i="1"/>
  <c r="H128" i="1"/>
  <c r="H404" i="1"/>
  <c r="O12" i="2"/>
  <c r="J193" i="1"/>
  <c r="I193" i="1"/>
  <c r="J60" i="1"/>
  <c r="C128" i="2" s="1"/>
  <c r="J43" i="1"/>
  <c r="J312" i="1"/>
  <c r="I150" i="1"/>
  <c r="I60" i="1"/>
  <c r="F123" i="2" s="1"/>
  <c r="I43" i="1"/>
  <c r="J345" i="1"/>
  <c r="G134" i="2" s="1"/>
  <c r="I345" i="1"/>
  <c r="F134" i="2" s="1"/>
  <c r="J326" i="1"/>
  <c r="J181" i="1"/>
  <c r="G92" i="2" s="1"/>
  <c r="I356" i="1"/>
  <c r="F127" i="2" s="1"/>
  <c r="I181" i="1"/>
  <c r="J102" i="1"/>
  <c r="J350" i="1"/>
  <c r="C123" i="2" s="1"/>
  <c r="J169" i="1"/>
  <c r="I208" i="1"/>
  <c r="I169" i="1"/>
  <c r="H208" i="1"/>
  <c r="J308" i="1"/>
  <c r="I168" i="1"/>
  <c r="J157" i="1"/>
  <c r="J87" i="1"/>
  <c r="E12" i="2"/>
  <c r="I190" i="1"/>
  <c r="J168" i="1"/>
  <c r="H45" i="1"/>
  <c r="F120" i="2" s="1"/>
  <c r="I350" i="1"/>
  <c r="F128" i="2" s="1"/>
  <c r="I253" i="1"/>
  <c r="J65" i="1"/>
  <c r="H318" i="1"/>
  <c r="I65" i="1"/>
  <c r="I312" i="1"/>
  <c r="J75" i="1"/>
  <c r="J80" i="1"/>
  <c r="G97" i="2" s="1"/>
  <c r="I75" i="1"/>
  <c r="F118" i="2" s="1"/>
  <c r="J90" i="1"/>
  <c r="I106" i="1"/>
  <c r="H316" i="1"/>
  <c r="H106" i="1"/>
  <c r="H90" i="1"/>
  <c r="I229" i="1"/>
  <c r="J202" i="1"/>
  <c r="J336" i="1"/>
  <c r="I336" i="1"/>
  <c r="J244" i="1"/>
  <c r="J212" i="1"/>
  <c r="G125" i="2" s="1"/>
  <c r="H202" i="1"/>
  <c r="J131" i="1"/>
  <c r="H105" i="1"/>
  <c r="I94" i="1"/>
  <c r="J67" i="1"/>
  <c r="J35" i="1"/>
  <c r="G119" i="2" s="1"/>
  <c r="I80" i="1"/>
  <c r="I382" i="1"/>
  <c r="H332" i="1"/>
  <c r="J105" i="1"/>
  <c r="H326" i="1"/>
  <c r="J94" i="1"/>
  <c r="J330" i="1"/>
  <c r="J314" i="1"/>
  <c r="I244" i="1"/>
  <c r="I212" i="1"/>
  <c r="I131" i="1"/>
  <c r="I67" i="1"/>
  <c r="J40" i="1"/>
  <c r="I35" i="1"/>
  <c r="F119" i="2" s="1"/>
  <c r="H382" i="1"/>
  <c r="J381" i="1"/>
  <c r="I330" i="1"/>
  <c r="I314" i="1"/>
  <c r="J287" i="1"/>
  <c r="I266" i="1"/>
  <c r="J206" i="1"/>
  <c r="J45" i="1"/>
  <c r="C125" i="2" s="1"/>
  <c r="I40" i="1"/>
  <c r="J386" i="1"/>
  <c r="I381" i="1"/>
  <c r="I386" i="1"/>
  <c r="J380" i="1"/>
  <c r="J385" i="1"/>
  <c r="I380" i="1"/>
  <c r="I385" i="1"/>
  <c r="I384" i="1"/>
  <c r="J384" i="1"/>
  <c r="U95" i="1" a="1"/>
  <c r="U95" i="1" s="1"/>
  <c r="U96" i="1" a="1"/>
  <c r="U96" i="1" s="1"/>
  <c r="U97" i="1" a="1"/>
  <c r="U97" i="1" s="1"/>
  <c r="U98" i="1" a="1"/>
  <c r="U98" i="1" s="1"/>
  <c r="U99" i="1" a="1"/>
  <c r="U99" i="1" s="1"/>
  <c r="U100" i="1" a="1"/>
  <c r="U100" i="1" s="1"/>
  <c r="U94" i="1" a="1"/>
  <c r="U94" i="1" s="1"/>
  <c r="U93" i="1" a="1"/>
  <c r="U93" i="1" s="1"/>
  <c r="U171" i="1" a="1"/>
  <c r="U171" i="1" s="1"/>
  <c r="U172" i="1" a="1"/>
  <c r="U172" i="1" s="1"/>
  <c r="U173" i="1" a="1"/>
  <c r="U173" i="1" s="1"/>
  <c r="U174" i="1" a="1"/>
  <c r="U174" i="1" s="1"/>
  <c r="U175" i="1" a="1"/>
  <c r="U175" i="1" s="1"/>
  <c r="U176" i="1" a="1"/>
  <c r="U176" i="1" s="1"/>
  <c r="U177" i="1" a="1"/>
  <c r="U177" i="1" s="1"/>
  <c r="U178" i="1" a="1"/>
  <c r="U178" i="1" s="1"/>
  <c r="U179" i="1" a="1"/>
  <c r="U179" i="1" s="1"/>
  <c r="U180" i="1" a="1"/>
  <c r="U180" i="1" s="1"/>
  <c r="U181" i="1" a="1"/>
  <c r="U181" i="1" s="1"/>
  <c r="U182" i="1" a="1"/>
  <c r="U182" i="1" s="1"/>
  <c r="U183" i="1" a="1"/>
  <c r="U183" i="1" s="1"/>
  <c r="U184" i="1" a="1"/>
  <c r="U184" i="1"/>
  <c r="U185" i="1" a="1"/>
  <c r="U185" i="1" s="1"/>
  <c r="U186" i="1" a="1"/>
  <c r="U186" i="1" s="1"/>
  <c r="U187" i="1" a="1"/>
  <c r="U187" i="1" s="1"/>
  <c r="U188" i="1" a="1"/>
  <c r="U188" i="1" s="1"/>
  <c r="U189" i="1" a="1"/>
  <c r="U189" i="1" s="1"/>
  <c r="U190" i="1" a="1"/>
  <c r="U190" i="1" s="1"/>
  <c r="U191" i="1" a="1"/>
  <c r="U191" i="1" s="1"/>
  <c r="U192" i="1" a="1"/>
  <c r="U192" i="1" s="1"/>
  <c r="U193" i="1" a="1"/>
  <c r="U193" i="1" s="1"/>
  <c r="U194" i="1" a="1"/>
  <c r="U194" i="1" s="1"/>
  <c r="U195" i="1" a="1"/>
  <c r="U195" i="1" s="1"/>
  <c r="U196" i="1" a="1"/>
  <c r="U196" i="1" s="1"/>
  <c r="U197" i="1" a="1"/>
  <c r="U197" i="1" s="1"/>
  <c r="U198" i="1" a="1"/>
  <c r="U198" i="1" s="1"/>
  <c r="U199" i="1" a="1"/>
  <c r="U199" i="1" s="1"/>
  <c r="U200" i="1" a="1"/>
  <c r="U200" i="1" s="1"/>
  <c r="U201" i="1" a="1"/>
  <c r="U201" i="1" s="1"/>
  <c r="U202" i="1" a="1"/>
  <c r="U202" i="1" s="1"/>
  <c r="U203" i="1" a="1"/>
  <c r="U203" i="1" s="1"/>
  <c r="U204" i="1" a="1"/>
  <c r="U204" i="1" s="1"/>
  <c r="U205" i="1" a="1"/>
  <c r="U205" i="1" s="1"/>
  <c r="U206" i="1" a="1"/>
  <c r="U206" i="1" s="1"/>
  <c r="U207" i="1" a="1"/>
  <c r="U207" i="1" s="1"/>
  <c r="U208" i="1" a="1"/>
  <c r="U208" i="1" s="1"/>
  <c r="U209" i="1" a="1"/>
  <c r="U209" i="1" s="1"/>
  <c r="U210" i="1" a="1"/>
  <c r="U210" i="1" s="1"/>
  <c r="U211" i="1" a="1"/>
  <c r="U211" i="1" s="1"/>
  <c r="U212" i="1" a="1"/>
  <c r="U212" i="1" s="1"/>
  <c r="U213" i="1" a="1"/>
  <c r="U213" i="1" s="1"/>
  <c r="U214" i="1" a="1"/>
  <c r="U214" i="1" s="1"/>
  <c r="U215" i="1" a="1"/>
  <c r="U215" i="1" s="1"/>
  <c r="U216" i="1" a="1"/>
  <c r="U216" i="1" s="1"/>
  <c r="U217" i="1" a="1"/>
  <c r="U217" i="1" s="1"/>
  <c r="U218" i="1" a="1"/>
  <c r="U218" i="1" s="1"/>
  <c r="U219" i="1" a="1"/>
  <c r="U219" i="1" s="1"/>
  <c r="U220" i="1" a="1"/>
  <c r="U220" i="1" s="1"/>
  <c r="U221" i="1" a="1"/>
  <c r="U221" i="1" s="1"/>
  <c r="U222" i="1" a="1"/>
  <c r="U222" i="1" s="1"/>
  <c r="U223" i="1" a="1"/>
  <c r="U223" i="1" s="1"/>
  <c r="U224" i="1" a="1"/>
  <c r="U224" i="1" s="1"/>
  <c r="U225" i="1" a="1"/>
  <c r="U225" i="1" s="1"/>
  <c r="U226" i="1" a="1"/>
  <c r="U226" i="1" s="1"/>
  <c r="U227" i="1" a="1"/>
  <c r="U227" i="1" s="1"/>
  <c r="U228" i="1" a="1"/>
  <c r="U228" i="1" s="1"/>
  <c r="U229" i="1" a="1"/>
  <c r="U229" i="1" s="1"/>
  <c r="U230" i="1" a="1"/>
  <c r="U230" i="1" s="1"/>
  <c r="U231" i="1" a="1"/>
  <c r="U231" i="1" s="1"/>
  <c r="U232" i="1" a="1"/>
  <c r="U232" i="1" s="1"/>
  <c r="U233" i="1" a="1"/>
  <c r="U233" i="1" s="1"/>
  <c r="U234" i="1" a="1"/>
  <c r="U234" i="1" s="1"/>
  <c r="U235" i="1" a="1"/>
  <c r="U235" i="1" s="1"/>
  <c r="U236" i="1" a="1"/>
  <c r="U236" i="1" s="1"/>
  <c r="U237" i="1" a="1"/>
  <c r="U237" i="1" s="1"/>
  <c r="U238" i="1" a="1"/>
  <c r="U238" i="1" s="1"/>
  <c r="U239" i="1" a="1"/>
  <c r="U239" i="1" s="1"/>
  <c r="U240" i="1" a="1"/>
  <c r="U240" i="1" s="1"/>
  <c r="U241" i="1" a="1"/>
  <c r="U241" i="1" s="1"/>
  <c r="U242" i="1" a="1"/>
  <c r="U242" i="1" s="1"/>
  <c r="U243" i="1" a="1"/>
  <c r="U243" i="1" s="1"/>
  <c r="U244" i="1" a="1"/>
  <c r="U244" i="1" s="1"/>
  <c r="U245" i="1" a="1"/>
  <c r="U245" i="1" s="1"/>
  <c r="U246" i="1" a="1"/>
  <c r="U246" i="1" s="1"/>
  <c r="U247" i="1" a="1"/>
  <c r="U247" i="1" s="1"/>
  <c r="U248" i="1" a="1"/>
  <c r="U248" i="1" s="1"/>
  <c r="U249" i="1" a="1"/>
  <c r="U249" i="1" s="1"/>
  <c r="U250" i="1" a="1"/>
  <c r="U250" i="1" s="1"/>
  <c r="U251" i="1" a="1"/>
  <c r="U251" i="1" s="1"/>
  <c r="U252" i="1" a="1"/>
  <c r="U252" i="1" s="1"/>
  <c r="U253" i="1" a="1"/>
  <c r="U253" i="1" s="1"/>
  <c r="U254" i="1" a="1"/>
  <c r="U254" i="1" s="1"/>
  <c r="U255" i="1" a="1"/>
  <c r="U255" i="1" s="1"/>
  <c r="U256" i="1" a="1"/>
  <c r="U256" i="1"/>
  <c r="U257" i="1" a="1"/>
  <c r="U257" i="1" s="1"/>
  <c r="U258" i="1" a="1"/>
  <c r="U258" i="1" s="1"/>
  <c r="U259" i="1" a="1"/>
  <c r="U259" i="1" s="1"/>
  <c r="U260" i="1" a="1"/>
  <c r="U260" i="1" s="1"/>
  <c r="U261" i="1" a="1"/>
  <c r="U261" i="1" s="1"/>
  <c r="U262" i="1" a="1"/>
  <c r="U262" i="1" s="1"/>
  <c r="U263" i="1" a="1"/>
  <c r="U263" i="1" s="1"/>
  <c r="U264" i="1" a="1"/>
  <c r="U264" i="1" s="1"/>
  <c r="U266" i="1" a="1"/>
  <c r="U266" i="1" s="1"/>
  <c r="U267" i="1" a="1"/>
  <c r="U267" i="1" s="1"/>
  <c r="U268" i="1" a="1"/>
  <c r="U268" i="1" s="1"/>
  <c r="U269" i="1" a="1"/>
  <c r="U269" i="1" s="1"/>
  <c r="U270" i="1" a="1"/>
  <c r="U270" i="1" s="1"/>
  <c r="U271" i="1" a="1"/>
  <c r="U271" i="1" s="1"/>
  <c r="U272" i="1" a="1"/>
  <c r="U272" i="1" s="1"/>
  <c r="U273" i="1" a="1"/>
  <c r="U273" i="1" s="1"/>
  <c r="U274" i="1" a="1"/>
  <c r="U274" i="1" s="1"/>
  <c r="U275" i="1" a="1"/>
  <c r="U275" i="1" s="1"/>
  <c r="U276" i="1" a="1"/>
  <c r="U276" i="1" s="1"/>
  <c r="U277" i="1" a="1"/>
  <c r="U277" i="1" s="1"/>
  <c r="U278" i="1" a="1"/>
  <c r="U278" i="1" s="1"/>
  <c r="U279" i="1" a="1"/>
  <c r="U279" i="1" s="1"/>
  <c r="U280" i="1" a="1"/>
  <c r="U280" i="1" s="1"/>
  <c r="U281" i="1" a="1"/>
  <c r="U281" i="1" s="1"/>
  <c r="U282" i="1" a="1"/>
  <c r="U282" i="1" s="1"/>
  <c r="U283" i="1" a="1"/>
  <c r="U283" i="1" s="1"/>
  <c r="U284" i="1" a="1"/>
  <c r="U284" i="1" s="1"/>
  <c r="U285" i="1" a="1"/>
  <c r="U285" i="1" s="1"/>
  <c r="U286" i="1" a="1"/>
  <c r="U286" i="1" s="1"/>
  <c r="U287" i="1" a="1"/>
  <c r="U287" i="1" s="1"/>
  <c r="U288" i="1" a="1"/>
  <c r="U288" i="1" s="1"/>
  <c r="U289" i="1" a="1"/>
  <c r="U289" i="1" s="1"/>
  <c r="U290" i="1" a="1"/>
  <c r="U290" i="1" s="1"/>
  <c r="U291" i="1" a="1"/>
  <c r="U291" i="1" s="1"/>
  <c r="U292" i="1" a="1"/>
  <c r="U292" i="1" s="1"/>
  <c r="U293" i="1" a="1"/>
  <c r="U293" i="1" s="1"/>
  <c r="U294" i="1" a="1"/>
  <c r="U294" i="1" s="1"/>
  <c r="U295" i="1" a="1"/>
  <c r="U295" i="1" s="1"/>
  <c r="U296" i="1" a="1"/>
  <c r="U296" i="1" s="1"/>
  <c r="U297" i="1" a="1"/>
  <c r="U297" i="1" s="1"/>
  <c r="U298" i="1" a="1"/>
  <c r="U298" i="1" s="1"/>
  <c r="U299" i="1" a="1"/>
  <c r="U299" i="1" s="1"/>
  <c r="U300" i="1" a="1"/>
  <c r="U300" i="1" s="1"/>
  <c r="U301" i="1" a="1"/>
  <c r="U301" i="1" s="1"/>
  <c r="U302" i="1" a="1"/>
  <c r="U302" i="1" s="1"/>
  <c r="U303" i="1" a="1"/>
  <c r="U303" i="1" s="1"/>
  <c r="U304" i="1" a="1"/>
  <c r="U304" i="1" s="1"/>
  <c r="U305" i="1" a="1"/>
  <c r="U305" i="1" s="1"/>
  <c r="U306" i="1" a="1"/>
  <c r="U306" i="1" s="1"/>
  <c r="U307" i="1" a="1"/>
  <c r="U307" i="1" s="1"/>
  <c r="U308" i="1" a="1"/>
  <c r="U308" i="1" s="1"/>
  <c r="U309" i="1" a="1"/>
  <c r="U309" i="1" s="1"/>
  <c r="U310" i="1" a="1"/>
  <c r="U310" i="1" s="1"/>
  <c r="U311" i="1" a="1"/>
  <c r="U311" i="1" s="1"/>
  <c r="U312" i="1" a="1"/>
  <c r="U312" i="1" s="1"/>
  <c r="U313" i="1" a="1"/>
  <c r="U313" i="1" s="1"/>
  <c r="U314" i="1" a="1"/>
  <c r="U314" i="1" s="1"/>
  <c r="U315" i="1" a="1"/>
  <c r="U315" i="1" s="1"/>
  <c r="U316" i="1" a="1"/>
  <c r="U316" i="1" s="1"/>
  <c r="U317" i="1" a="1"/>
  <c r="U317" i="1" s="1"/>
  <c r="U318" i="1" a="1"/>
  <c r="U318" i="1" s="1"/>
  <c r="U319" i="1" a="1"/>
  <c r="U319" i="1" s="1"/>
  <c r="U320" i="1" a="1"/>
  <c r="U320" i="1" s="1"/>
  <c r="U321" i="1" a="1"/>
  <c r="U321" i="1" s="1"/>
  <c r="U322" i="1" a="1"/>
  <c r="U322" i="1" s="1"/>
  <c r="U323" i="1" a="1"/>
  <c r="U323" i="1" s="1"/>
  <c r="U324" i="1" a="1"/>
  <c r="U324" i="1" s="1"/>
  <c r="U325" i="1" a="1"/>
  <c r="U325" i="1" s="1"/>
  <c r="U326" i="1" a="1"/>
  <c r="U326" i="1" s="1"/>
  <c r="U327" i="1" a="1"/>
  <c r="U327" i="1" s="1"/>
  <c r="U328" i="1" a="1"/>
  <c r="U328" i="1" s="1"/>
  <c r="U329" i="1" a="1"/>
  <c r="U329" i="1" s="1"/>
  <c r="U330" i="1" a="1"/>
  <c r="U330" i="1" s="1"/>
  <c r="U331" i="1" a="1"/>
  <c r="U331" i="1" s="1"/>
  <c r="U332" i="1" a="1"/>
  <c r="U332" i="1" s="1"/>
  <c r="U333" i="1" a="1"/>
  <c r="U333" i="1" s="1"/>
  <c r="U334" i="1" a="1"/>
  <c r="U334" i="1" s="1"/>
  <c r="U335" i="1" a="1"/>
  <c r="U335" i="1" s="1"/>
  <c r="U336" i="1" a="1"/>
  <c r="U336" i="1" s="1"/>
  <c r="U337" i="1" a="1"/>
  <c r="U337" i="1" s="1"/>
  <c r="U338" i="1" a="1"/>
  <c r="U338" i="1" s="1"/>
  <c r="U339" i="1" a="1"/>
  <c r="U339" i="1" s="1"/>
  <c r="U340" i="1" a="1"/>
  <c r="U340" i="1" s="1"/>
  <c r="U341" i="1" a="1"/>
  <c r="U341" i="1" s="1"/>
  <c r="U342" i="1" a="1"/>
  <c r="U342" i="1" s="1"/>
  <c r="U343" i="1" a="1"/>
  <c r="U343" i="1" s="1"/>
  <c r="U344" i="1" a="1"/>
  <c r="U344" i="1" s="1"/>
  <c r="U345" i="1" a="1"/>
  <c r="U345" i="1" s="1"/>
  <c r="U346" i="1" a="1"/>
  <c r="U346" i="1" s="1"/>
  <c r="U347" i="1" a="1"/>
  <c r="U347" i="1" s="1"/>
  <c r="U348" i="1" a="1"/>
  <c r="U348" i="1" s="1"/>
  <c r="U349" i="1" a="1"/>
  <c r="U349" i="1" s="1"/>
  <c r="U350" i="1" a="1"/>
  <c r="U350" i="1" s="1"/>
  <c r="U351" i="1" a="1"/>
  <c r="U351" i="1" s="1"/>
  <c r="U352" i="1" a="1"/>
  <c r="U352" i="1" s="1"/>
  <c r="U353" i="1" a="1"/>
  <c r="U353" i="1" s="1"/>
  <c r="U354" i="1" a="1"/>
  <c r="U354" i="1" s="1"/>
  <c r="U355" i="1" a="1"/>
  <c r="U355" i="1" s="1"/>
  <c r="U356" i="1" a="1"/>
  <c r="U356" i="1" s="1"/>
  <c r="U357" i="1" a="1"/>
  <c r="U357" i="1" s="1"/>
  <c r="U358" i="1" a="1"/>
  <c r="U358" i="1" s="1"/>
  <c r="U359" i="1" a="1"/>
  <c r="U359" i="1" s="1"/>
  <c r="U360" i="1" a="1"/>
  <c r="U360" i="1" s="1"/>
  <c r="U361" i="1" a="1"/>
  <c r="U361" i="1" s="1"/>
  <c r="U362" i="1" a="1"/>
  <c r="U362" i="1" s="1"/>
  <c r="U363" i="1" a="1"/>
  <c r="U363" i="1" s="1"/>
  <c r="U364" i="1" a="1"/>
  <c r="U364" i="1" s="1"/>
  <c r="U365" i="1" a="1"/>
  <c r="U365" i="1" s="1"/>
  <c r="U366" i="1" a="1"/>
  <c r="U366" i="1" s="1"/>
  <c r="U367" i="1" a="1"/>
  <c r="U367" i="1" s="1"/>
  <c r="U368" i="1" a="1"/>
  <c r="U368" i="1"/>
  <c r="U369" i="1" a="1"/>
  <c r="U369" i="1" s="1"/>
  <c r="U370" i="1" a="1"/>
  <c r="U370" i="1" s="1"/>
  <c r="U371" i="1" a="1"/>
  <c r="U371" i="1" s="1"/>
  <c r="U372" i="1" a="1"/>
  <c r="U372" i="1" s="1"/>
  <c r="U373" i="1" a="1"/>
  <c r="U373" i="1" s="1"/>
  <c r="U374" i="1" a="1"/>
  <c r="U374" i="1" s="1"/>
  <c r="U375" i="1" a="1"/>
  <c r="U375" i="1" s="1"/>
  <c r="U376" i="1" a="1"/>
  <c r="U376" i="1" s="1"/>
  <c r="U377" i="1" a="1"/>
  <c r="U377" i="1" s="1"/>
  <c r="U378" i="1" a="1"/>
  <c r="U378" i="1" s="1"/>
  <c r="U379" i="1" a="1"/>
  <c r="U379" i="1" s="1"/>
  <c r="U380" i="1" a="1"/>
  <c r="U380" i="1" s="1"/>
  <c r="U381" i="1" a="1"/>
  <c r="U381" i="1" s="1"/>
  <c r="U382" i="1" a="1"/>
  <c r="U382" i="1" s="1"/>
  <c r="U383" i="1" a="1"/>
  <c r="U383" i="1" s="1"/>
  <c r="U384" i="1" a="1"/>
  <c r="U384" i="1" s="1"/>
  <c r="U385" i="1" a="1"/>
  <c r="U385" i="1" s="1"/>
  <c r="U387" i="1" a="1"/>
  <c r="U387" i="1" s="1"/>
  <c r="U388" i="1" a="1"/>
  <c r="U388" i="1" s="1"/>
  <c r="U389" i="1" a="1"/>
  <c r="U389" i="1" s="1"/>
  <c r="U390" i="1" a="1"/>
  <c r="U390" i="1" s="1"/>
  <c r="U391" i="1" a="1"/>
  <c r="U391" i="1" s="1"/>
  <c r="U392" i="1" a="1"/>
  <c r="U392" i="1" s="1"/>
  <c r="U393" i="1" a="1"/>
  <c r="U393" i="1" s="1"/>
  <c r="U395" i="1" a="1"/>
  <c r="U395" i="1" s="1"/>
  <c r="U396" i="1" a="1"/>
  <c r="U396" i="1" s="1"/>
  <c r="U397" i="1" a="1"/>
  <c r="U397" i="1" s="1"/>
  <c r="U398" i="1" a="1"/>
  <c r="U398" i="1" s="1"/>
  <c r="U399" i="1" a="1"/>
  <c r="U399" i="1" s="1"/>
  <c r="U400" i="1" a="1"/>
  <c r="U400" i="1" s="1"/>
  <c r="U401" i="1" a="1"/>
  <c r="U401" i="1" s="1"/>
  <c r="U402" i="1" a="1"/>
  <c r="U402" i="1" s="1"/>
  <c r="U403" i="1" a="1"/>
  <c r="U403" i="1" s="1"/>
  <c r="U404" i="1" a="1"/>
  <c r="U404" i="1" s="1"/>
  <c r="U405" i="1" a="1"/>
  <c r="U405" i="1" s="1"/>
  <c r="U406" i="1" a="1"/>
  <c r="U406" i="1" s="1"/>
  <c r="U165" i="1" a="1"/>
  <c r="U165" i="1" s="1"/>
  <c r="U166" i="1" a="1"/>
  <c r="U166" i="1" s="1"/>
  <c r="U167" i="1" a="1"/>
  <c r="U167" i="1" s="1"/>
  <c r="U168" i="1" a="1"/>
  <c r="U168" i="1" s="1"/>
  <c r="U169" i="1" a="1"/>
  <c r="U169" i="1" s="1"/>
  <c r="U170" i="1" a="1"/>
  <c r="U170" i="1" s="1"/>
  <c r="U159" i="1" a="1"/>
  <c r="U159" i="1" s="1"/>
  <c r="U160" i="1" a="1"/>
  <c r="U160" i="1" s="1"/>
  <c r="U161" i="1" a="1"/>
  <c r="U161" i="1" s="1"/>
  <c r="U162" i="1" a="1"/>
  <c r="U162" i="1" s="1"/>
  <c r="U163" i="1" a="1"/>
  <c r="U163" i="1" s="1"/>
  <c r="U164" i="1" a="1"/>
  <c r="U164" i="1" s="1"/>
  <c r="U153" i="1" a="1"/>
  <c r="U153" i="1" s="1"/>
  <c r="U154" i="1" a="1"/>
  <c r="U154" i="1" s="1"/>
  <c r="U155" i="1" a="1"/>
  <c r="U155" i="1" s="1"/>
  <c r="U156" i="1" a="1"/>
  <c r="U156" i="1" s="1"/>
  <c r="U157" i="1" a="1"/>
  <c r="U157" i="1" s="1"/>
  <c r="U158" i="1" a="1"/>
  <c r="U158" i="1" s="1"/>
  <c r="U147" i="1" a="1"/>
  <c r="U147" i="1" s="1"/>
  <c r="U148" i="1" a="1"/>
  <c r="U148" i="1" s="1"/>
  <c r="U149" i="1" a="1"/>
  <c r="U149" i="1" s="1"/>
  <c r="U150" i="1" a="1"/>
  <c r="U150" i="1" s="1"/>
  <c r="U151" i="1" a="1"/>
  <c r="U151" i="1" s="1"/>
  <c r="U152" i="1" a="1"/>
  <c r="U152" i="1" s="1"/>
  <c r="U141" i="1" a="1"/>
  <c r="U141" i="1" s="1"/>
  <c r="U142" i="1" a="1"/>
  <c r="U142" i="1" s="1"/>
  <c r="U143" i="1" a="1"/>
  <c r="U143" i="1" s="1"/>
  <c r="U144" i="1" a="1"/>
  <c r="U144" i="1" s="1"/>
  <c r="U145" i="1" a="1"/>
  <c r="U145" i="1" s="1"/>
  <c r="U146" i="1" a="1"/>
  <c r="U146" i="1" s="1"/>
  <c r="U133" i="1" a="1"/>
  <c r="U133" i="1" s="1"/>
  <c r="U134" i="1" a="1"/>
  <c r="U134" i="1" s="1"/>
  <c r="U135" i="1" a="1"/>
  <c r="U135" i="1" s="1"/>
  <c r="U136" i="1" a="1"/>
  <c r="U136" i="1" s="1"/>
  <c r="U137" i="1" a="1"/>
  <c r="U137" i="1" s="1"/>
  <c r="U138" i="1" a="1"/>
  <c r="U138" i="1" s="1"/>
  <c r="U140" i="1" a="1"/>
  <c r="U140" i="1" s="1"/>
  <c r="U127" i="1" a="1"/>
  <c r="U127" i="1" s="1"/>
  <c r="U128" i="1" a="1"/>
  <c r="U128" i="1" s="1"/>
  <c r="U129" i="1" a="1"/>
  <c r="U129" i="1" s="1"/>
  <c r="U130" i="1" a="1"/>
  <c r="U130" i="1" s="1"/>
  <c r="U131" i="1" a="1"/>
  <c r="U131" i="1" s="1"/>
  <c r="U132" i="1" a="1"/>
  <c r="U132" i="1" s="1"/>
  <c r="U120" i="1" a="1"/>
  <c r="U120" i="1" s="1"/>
  <c r="U121" i="1" a="1"/>
  <c r="U121" i="1" s="1"/>
  <c r="U122" i="1" a="1"/>
  <c r="U122" i="1" s="1"/>
  <c r="U123" i="1" a="1"/>
  <c r="U123" i="1" s="1"/>
  <c r="U124" i="1" a="1"/>
  <c r="U124" i="1" s="1"/>
  <c r="U125" i="1" a="1"/>
  <c r="U125" i="1" s="1"/>
  <c r="U126" i="1" a="1"/>
  <c r="U126" i="1" s="1"/>
  <c r="U114" i="1" a="1"/>
  <c r="U114" i="1" s="1"/>
  <c r="U115" i="1" a="1"/>
  <c r="U115" i="1" s="1"/>
  <c r="U116" i="1" a="1"/>
  <c r="U116" i="1" s="1"/>
  <c r="U117" i="1" a="1"/>
  <c r="U117" i="1" s="1"/>
  <c r="U118" i="1" a="1"/>
  <c r="U118" i="1" s="1"/>
  <c r="U119" i="1" a="1"/>
  <c r="U119" i="1" s="1"/>
  <c r="U108" i="1" a="1"/>
  <c r="U108" i="1" s="1"/>
  <c r="U109" i="1" a="1"/>
  <c r="U109" i="1" s="1"/>
  <c r="U110" i="1" a="1"/>
  <c r="U110" i="1" s="1"/>
  <c r="U111" i="1" a="1"/>
  <c r="U111" i="1" s="1"/>
  <c r="U112" i="1" a="1"/>
  <c r="U112" i="1" s="1"/>
  <c r="U113" i="1" a="1"/>
  <c r="U113" i="1" s="1"/>
  <c r="U107" i="1" a="1"/>
  <c r="U107" i="1" s="1"/>
  <c r="U106" i="1" a="1"/>
  <c r="U106" i="1" s="1"/>
  <c r="U105" i="1" a="1"/>
  <c r="U105" i="1" s="1"/>
  <c r="U31" i="1" a="1"/>
  <c r="U31" i="1" s="1"/>
  <c r="U36" i="1" a="1"/>
  <c r="U36" i="1" s="1"/>
  <c r="U41" i="1" a="1"/>
  <c r="U41" i="1" s="1"/>
  <c r="U64" i="1" a="1"/>
  <c r="U64" i="1" s="1"/>
  <c r="U65" i="1" a="1"/>
  <c r="U65" i="1"/>
  <c r="U66" i="1" a="1"/>
  <c r="U66" i="1" s="1"/>
  <c r="U67" i="1" a="1"/>
  <c r="U67" i="1" s="1"/>
  <c r="U68" i="1" a="1"/>
  <c r="U68" i="1" s="1"/>
  <c r="U69" i="1" a="1"/>
  <c r="U69" i="1" s="1"/>
  <c r="U70" i="1" a="1"/>
  <c r="U70" i="1" s="1"/>
  <c r="U71" i="1" a="1"/>
  <c r="U71" i="1" s="1"/>
  <c r="U72" i="1" a="1"/>
  <c r="U72" i="1" s="1"/>
  <c r="U73" i="1" a="1"/>
  <c r="U73" i="1" s="1"/>
  <c r="U74" i="1" a="1"/>
  <c r="U74" i="1" s="1"/>
  <c r="U75" i="1" a="1"/>
  <c r="U75" i="1" s="1"/>
  <c r="U76" i="1" a="1"/>
  <c r="U76" i="1" s="1"/>
  <c r="U77" i="1" a="1"/>
  <c r="U77" i="1" s="1"/>
  <c r="U78" i="1" a="1"/>
  <c r="U78" i="1" s="1"/>
  <c r="U79" i="1" a="1"/>
  <c r="U79" i="1"/>
  <c r="U80" i="1" a="1"/>
  <c r="U80" i="1" s="1"/>
  <c r="U81" i="1" a="1"/>
  <c r="U81" i="1" s="1"/>
  <c r="U82" i="1" a="1"/>
  <c r="U82" i="1" s="1"/>
  <c r="U83" i="1" a="1"/>
  <c r="U83" i="1" s="1"/>
  <c r="U84" i="1" a="1"/>
  <c r="U84" i="1" s="1"/>
  <c r="U85" i="1" a="1"/>
  <c r="U85" i="1" s="1"/>
  <c r="U86" i="1" a="1"/>
  <c r="U86" i="1" s="1"/>
  <c r="U87" i="1" a="1"/>
  <c r="U87" i="1" s="1"/>
  <c r="U88" i="1" a="1"/>
  <c r="U88" i="1" s="1"/>
  <c r="U89" i="1" a="1"/>
  <c r="U89" i="1" s="1"/>
  <c r="U90" i="1" a="1"/>
  <c r="U90" i="1" s="1"/>
  <c r="U91" i="1" a="1"/>
  <c r="U91" i="1" s="1"/>
  <c r="U92" i="1" a="1"/>
  <c r="U92" i="1" s="1"/>
  <c r="U101" i="1" a="1"/>
  <c r="U101" i="1" s="1"/>
  <c r="U102" i="1" a="1"/>
  <c r="U102" i="1" s="1"/>
  <c r="U103" i="1" a="1"/>
  <c r="U103" i="1" s="1"/>
  <c r="U104" i="1" a="1"/>
  <c r="U104" i="1" s="1"/>
  <c r="U63" i="1" a="1"/>
  <c r="U63" i="1" s="1"/>
  <c r="U61" i="1" a="1"/>
  <c r="U61" i="1" s="1"/>
  <c r="U62" i="1" a="1"/>
  <c r="U62" i="1" s="1"/>
  <c r="U56" i="1" a="1"/>
  <c r="U56" i="1" s="1"/>
  <c r="U51" i="1" a="1"/>
  <c r="U51" i="1" s="1"/>
  <c r="U46" i="1" a="1"/>
  <c r="U46" i="1"/>
  <c r="D8" i="2"/>
  <c r="U49" i="1" a="1"/>
  <c r="U49" i="1" s="1"/>
  <c r="U50" i="1" a="1"/>
  <c r="U50" i="1" s="1"/>
  <c r="U52" i="1" a="1"/>
  <c r="U52" i="1" s="1"/>
  <c r="U53" i="1" a="1"/>
  <c r="U53" i="1" s="1"/>
  <c r="U54" i="1" a="1"/>
  <c r="U54" i="1" s="1"/>
  <c r="U55" i="1" a="1"/>
  <c r="U55" i="1" s="1"/>
  <c r="U57" i="1" a="1"/>
  <c r="U57" i="1" s="1"/>
  <c r="U58" i="1" a="1"/>
  <c r="U58" i="1" s="1"/>
  <c r="U59" i="1" a="1"/>
  <c r="U59" i="1" s="1"/>
  <c r="U60" i="1" a="1"/>
  <c r="U60" i="1" s="1"/>
  <c r="U44" i="1" a="1"/>
  <c r="U44" i="1" s="1"/>
  <c r="U45" i="1" a="1"/>
  <c r="U45" i="1" s="1"/>
  <c r="U47" i="1" a="1"/>
  <c r="U47" i="1" s="1"/>
  <c r="U48" i="1" a="1"/>
  <c r="U48" i="1" s="1"/>
  <c r="U39" i="1" a="1"/>
  <c r="U39" i="1" s="1"/>
  <c r="U40" i="1" a="1"/>
  <c r="U40" i="1" s="1"/>
  <c r="U42" i="1" a="1"/>
  <c r="U42" i="1" s="1"/>
  <c r="U43" i="1" a="1"/>
  <c r="U43" i="1" s="1"/>
  <c r="U32" i="1" a="1"/>
  <c r="U32" i="1" s="1"/>
  <c r="U33" i="1" a="1"/>
  <c r="U33" i="1" s="1"/>
  <c r="U34" i="1" a="1"/>
  <c r="U34" i="1" s="1"/>
  <c r="U35" i="1" a="1"/>
  <c r="U35" i="1" s="1"/>
  <c r="U37" i="1" a="1"/>
  <c r="U37" i="1" s="1"/>
  <c r="U38" i="1" a="1"/>
  <c r="U38" i="1" s="1"/>
  <c r="U30" i="1" a="1"/>
  <c r="U30" i="1" s="1"/>
  <c r="U14" i="1"/>
  <c r="U19" i="1"/>
  <c r="U24" i="1"/>
  <c r="U29" i="1"/>
  <c r="U9" i="1"/>
  <c r="R4" i="1"/>
  <c r="Q2" i="1"/>
  <c r="Q3" i="1" s="1"/>
  <c r="D4" i="2"/>
  <c r="D5" i="2"/>
  <c r="D6" i="2"/>
  <c r="D7" i="2"/>
  <c r="D9" i="2"/>
  <c r="D3" i="2"/>
  <c r="C3" i="2"/>
  <c r="C8" i="2"/>
  <c r="B8" i="2"/>
  <c r="C4" i="2"/>
  <c r="C5" i="2"/>
  <c r="C6" i="2"/>
  <c r="C7" i="2"/>
  <c r="C9" i="2"/>
  <c r="B4" i="2"/>
  <c r="B5" i="2"/>
  <c r="B6" i="2"/>
  <c r="B7" i="2"/>
  <c r="B9" i="2"/>
  <c r="B3" i="2"/>
  <c r="I258" i="1" l="1"/>
  <c r="G116" i="2"/>
  <c r="I320" i="1"/>
  <c r="J320" i="1"/>
  <c r="H258" i="1"/>
  <c r="F101" i="2"/>
  <c r="J322" i="1"/>
  <c r="I260" i="1"/>
  <c r="J260" i="1"/>
  <c r="G103" i="2" s="1"/>
  <c r="J284" i="1"/>
  <c r="C100" i="2" s="1"/>
  <c r="I322" i="1"/>
  <c r="B98" i="2" s="1"/>
  <c r="J252" i="1"/>
  <c r="I284" i="1"/>
  <c r="G98" i="2"/>
  <c r="H287" i="1"/>
  <c r="B100" i="2" s="1"/>
  <c r="H245" i="1"/>
  <c r="I246" i="1"/>
  <c r="J246" i="1"/>
  <c r="H248" i="1"/>
  <c r="H254" i="1"/>
  <c r="I247" i="1"/>
  <c r="J248" i="1"/>
  <c r="J247" i="1"/>
  <c r="J254" i="1"/>
  <c r="F96" i="2"/>
  <c r="C103" i="2"/>
  <c r="F132" i="2"/>
  <c r="C121" i="2"/>
  <c r="I251" i="1"/>
  <c r="G113" i="2"/>
  <c r="J251" i="1"/>
  <c r="J245" i="1"/>
  <c r="H149" i="2"/>
  <c r="I149" i="2" s="1"/>
  <c r="H252" i="1"/>
  <c r="G133" i="2"/>
  <c r="G115" i="2"/>
  <c r="F116" i="2"/>
  <c r="H116" i="2" s="1"/>
  <c r="I116" i="2" s="1"/>
  <c r="G89" i="2"/>
  <c r="C92" i="2"/>
  <c r="H152" i="2"/>
  <c r="I152" i="2" s="1"/>
  <c r="C101" i="2"/>
  <c r="H136" i="2"/>
  <c r="I136" i="2" s="1"/>
  <c r="F115" i="2"/>
  <c r="F93" i="2"/>
  <c r="F121" i="2"/>
  <c r="H121" i="2" s="1"/>
  <c r="I121" i="2" s="1"/>
  <c r="F113" i="2"/>
  <c r="H113" i="2" s="1"/>
  <c r="I113" i="2" s="1"/>
  <c r="G100" i="2"/>
  <c r="C91" i="2"/>
  <c r="C102" i="2"/>
  <c r="F90" i="2"/>
  <c r="F92" i="2"/>
  <c r="H92" i="2" s="1"/>
  <c r="I92" i="2" s="1"/>
  <c r="C133" i="2"/>
  <c r="F129" i="2"/>
  <c r="F133" i="2"/>
  <c r="F114" i="2"/>
  <c r="H155" i="2"/>
  <c r="I155" i="2" s="1"/>
  <c r="H147" i="2"/>
  <c r="I147" i="2" s="1"/>
  <c r="H153" i="2"/>
  <c r="I153" i="2" s="1"/>
  <c r="H138" i="2"/>
  <c r="I138" i="2" s="1"/>
  <c r="H137" i="2"/>
  <c r="I137" i="2" s="1"/>
  <c r="H139" i="2"/>
  <c r="I139" i="2" s="1"/>
  <c r="H154" i="2"/>
  <c r="I154" i="2" s="1"/>
  <c r="G105" i="2"/>
  <c r="G90" i="2"/>
  <c r="F102" i="2"/>
  <c r="F100" i="2"/>
  <c r="G129" i="2"/>
  <c r="C95" i="2"/>
  <c r="F111" i="2"/>
  <c r="H150" i="2"/>
  <c r="I150" i="2" s="1"/>
  <c r="G132" i="2"/>
  <c r="G112" i="2"/>
  <c r="C116" i="2"/>
  <c r="G110" i="2"/>
  <c r="C96" i="2"/>
  <c r="F97" i="2"/>
  <c r="H97" i="2" s="1"/>
  <c r="I97" i="2" s="1"/>
  <c r="F125" i="2"/>
  <c r="H125" i="2" s="1"/>
  <c r="I125" i="2" s="1"/>
  <c r="F95" i="2"/>
  <c r="H151" i="2"/>
  <c r="I151" i="2" s="1"/>
  <c r="H140" i="2"/>
  <c r="I140" i="2" s="1"/>
  <c r="H146" i="2"/>
  <c r="I146" i="2" s="1"/>
  <c r="H141" i="2"/>
  <c r="I141" i="2" s="1"/>
  <c r="H148" i="2"/>
  <c r="I148" i="2" s="1"/>
  <c r="F108" i="2"/>
  <c r="C111" i="2"/>
  <c r="H143" i="2"/>
  <c r="I143" i="2" s="1"/>
  <c r="F112" i="2"/>
  <c r="G106" i="2"/>
  <c r="F110" i="2"/>
  <c r="B89" i="2"/>
  <c r="H119" i="2"/>
  <c r="I119" i="2" s="1"/>
  <c r="F106" i="2"/>
  <c r="C104" i="2"/>
  <c r="H144" i="2"/>
  <c r="I144" i="2" s="1"/>
  <c r="F89" i="2"/>
  <c r="C98" i="2"/>
  <c r="C113" i="2"/>
  <c r="F104" i="2"/>
  <c r="G128" i="2"/>
  <c r="H128" i="2" s="1"/>
  <c r="I128" i="2" s="1"/>
  <c r="C89" i="2"/>
  <c r="G123" i="2"/>
  <c r="H123" i="2" s="1"/>
  <c r="I123" i="2" s="1"/>
  <c r="G104" i="2"/>
  <c r="H126" i="2"/>
  <c r="I126" i="2" s="1"/>
  <c r="C106" i="2"/>
  <c r="C124" i="2"/>
  <c r="F109" i="2"/>
  <c r="C93" i="2"/>
  <c r="F105" i="2"/>
  <c r="H134" i="2"/>
  <c r="I134" i="2" s="1"/>
  <c r="H131" i="2"/>
  <c r="I131" i="2" s="1"/>
  <c r="H142" i="2"/>
  <c r="I142" i="2" s="1"/>
  <c r="C131" i="2"/>
  <c r="G111" i="2"/>
  <c r="C97" i="2"/>
  <c r="F122" i="2"/>
  <c r="G118" i="2"/>
  <c r="H118" i="2" s="1"/>
  <c r="I118" i="2" s="1"/>
  <c r="C118" i="2"/>
  <c r="G120" i="2"/>
  <c r="H120" i="2" s="1"/>
  <c r="I120" i="2" s="1"/>
  <c r="G95" i="2"/>
  <c r="C127" i="2"/>
  <c r="G122" i="2"/>
  <c r="G114" i="2"/>
  <c r="C120" i="2"/>
  <c r="C119" i="2"/>
  <c r="C105" i="2"/>
  <c r="C115" i="2"/>
  <c r="G108" i="2"/>
  <c r="C107" i="2"/>
  <c r="F107" i="2"/>
  <c r="G102" i="2"/>
  <c r="C134" i="2"/>
  <c r="C109" i="2"/>
  <c r="G93" i="2"/>
  <c r="C112" i="2"/>
  <c r="G117" i="2"/>
  <c r="C117" i="2"/>
  <c r="F135" i="2"/>
  <c r="C114" i="2"/>
  <c r="G107" i="2"/>
  <c r="G109" i="2"/>
  <c r="C108" i="2"/>
  <c r="G127" i="2"/>
  <c r="H127" i="2" s="1"/>
  <c r="I127" i="2" s="1"/>
  <c r="G101" i="2"/>
  <c r="H101" i="2" s="1"/>
  <c r="I101" i="2" s="1"/>
  <c r="C99" i="2"/>
  <c r="F130" i="2"/>
  <c r="H130" i="2" s="1"/>
  <c r="I130" i="2" s="1"/>
  <c r="G96" i="2"/>
  <c r="C110" i="2"/>
  <c r="F117" i="2"/>
  <c r="G124" i="2"/>
  <c r="H124" i="2" s="1"/>
  <c r="I124" i="2" s="1"/>
  <c r="H145" i="2"/>
  <c r="I145" i="2" s="1"/>
  <c r="W4" i="2"/>
  <c r="G135" i="2"/>
  <c r="C135" i="2"/>
  <c r="U3" i="2"/>
  <c r="T3" i="2"/>
  <c r="N9" i="2"/>
  <c r="O9" i="2"/>
  <c r="N5" i="2"/>
  <c r="O5" i="2"/>
  <c r="N4" i="2"/>
  <c r="O4" i="2"/>
  <c r="O3" i="2"/>
  <c r="N3" i="2"/>
  <c r="N7" i="2"/>
  <c r="O7" i="2"/>
  <c r="N6" i="2"/>
  <c r="O6" i="2"/>
  <c r="N8" i="2"/>
  <c r="O8" i="2"/>
  <c r="B95" i="2"/>
  <c r="B97" i="2"/>
  <c r="B61" i="2"/>
  <c r="B142" i="2"/>
  <c r="B138" i="2"/>
  <c r="B62" i="2"/>
  <c r="B125" i="2"/>
  <c r="B113" i="2"/>
  <c r="B151" i="2"/>
  <c r="B63" i="2"/>
  <c r="B79" i="2"/>
  <c r="B139" i="2"/>
  <c r="B143" i="2"/>
  <c r="B131" i="2"/>
  <c r="B117" i="2"/>
  <c r="B115" i="2"/>
  <c r="B135" i="2"/>
  <c r="B104" i="2"/>
  <c r="B55" i="2"/>
  <c r="B71" i="2"/>
  <c r="B87" i="2"/>
  <c r="B108" i="2"/>
  <c r="B134" i="2"/>
  <c r="B119" i="2"/>
  <c r="B110" i="2"/>
  <c r="B50" i="2"/>
  <c r="B114" i="2"/>
  <c r="B129" i="2"/>
  <c r="B118" i="2"/>
  <c r="B69" i="2"/>
  <c r="B146" i="2"/>
  <c r="B111" i="2"/>
  <c r="B56" i="2"/>
  <c r="B72" i="2"/>
  <c r="B136" i="2"/>
  <c r="B137" i="2"/>
  <c r="B130" i="2"/>
  <c r="B147" i="2"/>
  <c r="B154" i="2"/>
  <c r="B145" i="2"/>
  <c r="B106" i="2"/>
  <c r="B85" i="2"/>
  <c r="B57" i="2"/>
  <c r="B132" i="2"/>
  <c r="B107" i="2"/>
  <c r="B122" i="2"/>
  <c r="B148" i="2"/>
  <c r="B155" i="2"/>
  <c r="B116" i="2"/>
  <c r="B150" i="2"/>
  <c r="B64" i="2"/>
  <c r="B80" i="2"/>
  <c r="B127" i="2"/>
  <c r="B140" i="2"/>
  <c r="B92" i="2"/>
  <c r="B152" i="2"/>
  <c r="B65" i="2"/>
  <c r="B81" i="2"/>
  <c r="B128" i="2"/>
  <c r="B144" i="2"/>
  <c r="B153" i="2"/>
  <c r="B66" i="2"/>
  <c r="B82" i="2"/>
  <c r="B105" i="2"/>
  <c r="B120" i="2"/>
  <c r="B52" i="2"/>
  <c r="B68" i="2"/>
  <c r="B84" i="2"/>
  <c r="B93" i="2"/>
  <c r="B54" i="2"/>
  <c r="B70" i="2"/>
  <c r="B86" i="2"/>
  <c r="B96" i="2"/>
  <c r="B58" i="2"/>
  <c r="B74" i="2"/>
  <c r="B91" i="2"/>
  <c r="B121" i="2"/>
  <c r="B123" i="2"/>
  <c r="B149" i="2"/>
  <c r="B59" i="2"/>
  <c r="B75" i="2"/>
  <c r="B103" i="2"/>
  <c r="B133" i="2"/>
  <c r="B99" i="2"/>
  <c r="B101" i="2"/>
  <c r="B78" i="2"/>
  <c r="B126" i="2"/>
  <c r="B49" i="2"/>
  <c r="B141" i="2"/>
  <c r="B51" i="2"/>
  <c r="B67" i="2"/>
  <c r="B109" i="2"/>
  <c r="B53" i="2"/>
  <c r="B60" i="2"/>
  <c r="B76" i="2"/>
  <c r="B124" i="2"/>
  <c r="B112" i="2"/>
  <c r="B102" i="2"/>
  <c r="B23" i="2"/>
  <c r="D26" i="2"/>
  <c r="F26" i="2"/>
  <c r="F41" i="2"/>
  <c r="B32" i="2"/>
  <c r="D25" i="2"/>
  <c r="B48" i="2"/>
  <c r="B33" i="2"/>
  <c r="F42" i="2"/>
  <c r="F25" i="2"/>
  <c r="F40" i="2"/>
  <c r="B47" i="2"/>
  <c r="D27" i="2"/>
  <c r="B46" i="2"/>
  <c r="B45" i="2"/>
  <c r="B29" i="2"/>
  <c r="D29" i="2"/>
  <c r="F29" i="2"/>
  <c r="B44" i="2"/>
  <c r="B28" i="2"/>
  <c r="D30" i="2"/>
  <c r="F30" i="2"/>
  <c r="D28" i="2"/>
  <c r="B27" i="2"/>
  <c r="D31" i="2"/>
  <c r="F31" i="2"/>
  <c r="B26" i="2"/>
  <c r="D32" i="2"/>
  <c r="F32" i="2"/>
  <c r="B41" i="2"/>
  <c r="B25" i="2"/>
  <c r="D33" i="2"/>
  <c r="F28" i="2"/>
  <c r="B40" i="2"/>
  <c r="B24" i="2"/>
  <c r="D34" i="2"/>
  <c r="F34" i="2"/>
  <c r="B31" i="2"/>
  <c r="B39" i="2"/>
  <c r="B22" i="2"/>
  <c r="D35" i="2"/>
  <c r="F35" i="2"/>
  <c r="B38" i="2"/>
  <c r="B21" i="2"/>
  <c r="D36" i="2"/>
  <c r="F36" i="2"/>
  <c r="B37" i="2"/>
  <c r="D21" i="2"/>
  <c r="F21" i="2"/>
  <c r="F37" i="2"/>
  <c r="F43" i="2"/>
  <c r="B36" i="2"/>
  <c r="D22" i="2"/>
  <c r="F22" i="2"/>
  <c r="F38" i="2"/>
  <c r="B35" i="2"/>
  <c r="D23" i="2"/>
  <c r="F23" i="2"/>
  <c r="F27" i="2"/>
  <c r="B30" i="2"/>
  <c r="B34" i="2"/>
  <c r="D24" i="2"/>
  <c r="F24" i="2"/>
  <c r="E4" i="2"/>
  <c r="E8" i="2"/>
  <c r="R8" i="2" s="1"/>
  <c r="E6" i="2"/>
  <c r="R6" i="2" s="1"/>
  <c r="E9" i="2"/>
  <c r="R9" i="2" s="1"/>
  <c r="E7" i="2"/>
  <c r="R7" i="2" s="1"/>
  <c r="E5" i="2"/>
  <c r="R5" i="2" s="1"/>
  <c r="E3" i="2"/>
  <c r="R3" i="2" s="1"/>
  <c r="F33" i="2" l="1"/>
  <c r="F103" i="2"/>
  <c r="B77" i="2"/>
  <c r="F99" i="2"/>
  <c r="B73" i="2"/>
  <c r="B90" i="2"/>
  <c r="B42" i="2"/>
  <c r="F39" i="2"/>
  <c r="G99" i="2"/>
  <c r="F91" i="2"/>
  <c r="B83" i="2"/>
  <c r="F98" i="2"/>
  <c r="H98" i="2" s="1"/>
  <c r="I98" i="2" s="1"/>
  <c r="C17" i="2"/>
  <c r="G94" i="2"/>
  <c r="B94" i="2"/>
  <c r="G91" i="2"/>
  <c r="H96" i="2"/>
  <c r="I96" i="2" s="1"/>
  <c r="H132" i="2"/>
  <c r="I132" i="2" s="1"/>
  <c r="F94" i="2"/>
  <c r="C90" i="2"/>
  <c r="C94" i="2"/>
  <c r="C16" i="2"/>
  <c r="J4" i="2" s="1"/>
  <c r="B43" i="2"/>
  <c r="H100" i="2"/>
  <c r="I100" i="2" s="1"/>
  <c r="H133" i="2"/>
  <c r="I133" i="2" s="1"/>
  <c r="H115" i="2"/>
  <c r="I115" i="2" s="1"/>
  <c r="H114" i="2"/>
  <c r="I114" i="2" s="1"/>
  <c r="H129" i="2"/>
  <c r="I129" i="2" s="1"/>
  <c r="H90" i="2"/>
  <c r="I90" i="2" s="1"/>
  <c r="H93" i="2"/>
  <c r="I93" i="2" s="1"/>
  <c r="H111" i="2"/>
  <c r="I111" i="2" s="1"/>
  <c r="H112" i="2"/>
  <c r="I112" i="2" s="1"/>
  <c r="H105" i="2"/>
  <c r="I105" i="2" s="1"/>
  <c r="H95" i="2"/>
  <c r="I95" i="2" s="1"/>
  <c r="H102" i="2"/>
  <c r="I102" i="2" s="1"/>
  <c r="H110" i="2"/>
  <c r="I110" i="2" s="1"/>
  <c r="H108" i="2"/>
  <c r="I108" i="2" s="1"/>
  <c r="H135" i="2"/>
  <c r="I135" i="2" s="1"/>
  <c r="H106" i="2"/>
  <c r="I106" i="2" s="1"/>
  <c r="H109" i="2"/>
  <c r="I109" i="2" s="1"/>
  <c r="H104" i="2"/>
  <c r="I104" i="2" s="1"/>
  <c r="H117" i="2"/>
  <c r="I117" i="2" s="1"/>
  <c r="H103" i="2"/>
  <c r="I103" i="2" s="1"/>
  <c r="H122" i="2"/>
  <c r="I122" i="2" s="1"/>
  <c r="H107" i="2"/>
  <c r="I107" i="2" s="1"/>
  <c r="V3" i="2"/>
  <c r="R13" i="2"/>
  <c r="J2" i="2" s="1"/>
  <c r="D20" i="2"/>
  <c r="R24" i="2" s="1"/>
  <c r="S24" i="2" s="1"/>
  <c r="H99" i="2" l="1"/>
  <c r="I99" i="2" s="1"/>
  <c r="F20" i="2"/>
  <c r="R23" i="2" s="1"/>
  <c r="S23" i="2" s="1"/>
  <c r="G16" i="2"/>
  <c r="E15" i="2" s="1"/>
  <c r="H91" i="2"/>
  <c r="I91" i="2" s="1"/>
  <c r="H94" i="2"/>
  <c r="I94" i="2" s="1"/>
  <c r="B20" i="2"/>
  <c r="R25" i="2" s="1"/>
  <c r="S25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tc={8E5F7F15-346C-49D5-99C0-81E4379D7D9A}</author>
  </authors>
  <commentList>
    <comment ref="D107" authorId="0" shapeId="0" xr:uid="{8E5F7F15-346C-49D5-99C0-81E4379D7D9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B120/121 is not used for the purpose of DP 2 so it not required. Please check with Siva which of his vessels are not used as DP2 in Thailand exclude those as well for lighting deterrence 
Reply:
    Also removed failed as drop down menu 
Reply:
    Ah yes you are right, i forgot his email. Thanks
Reply:
    Ares / Athenna DP2 in Thailand  i Think
Reply:
    Okay for the 2 C class and 4 A class on Thailand i remove for lightning 
deterence  
Reply:
    ok 
Reply:
    This sheet then can be send to Alessandro , Siva and Vinayak for them to take action. 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<sst xmlns="http://schemas.openxmlformats.org/spreadsheetml/2006/main" count="1411" uniqueCount="262">
  <si>
    <r>
      <t>This is the Vessel</t>
    </r>
    <r>
      <rPr>
        <b/>
        <sz val="12"/>
        <color theme="1"/>
        <rFont val="Calibri"/>
        <family val="2"/>
        <scheme val="minor"/>
      </rPr>
      <t xml:space="preserve"> Installation Tracker Sheet</t>
    </r>
    <r>
      <rPr>
        <sz val="12"/>
        <color theme="1"/>
        <rFont val="Calibri"/>
        <family val="2"/>
        <scheme val="minor"/>
      </rPr>
      <t xml:space="preserve">. </t>
    </r>
  </si>
  <si>
    <t>If any issues concerning the Excel Sheet
Please refer to Axel FAURAX</t>
  </si>
  <si>
    <t>To remind :</t>
  </si>
  <si>
    <t>MGPS :   All existing vessels
IWTM Filter :   Whole fleet + new assets
Lightning  System CMCE :   All DP 2 vessels which are used as DP2 if vessel is not used as DP2 then it is not required
MGPS + Chlorinator :   New assets</t>
  </si>
  <si>
    <t>N</t>
  </si>
  <si>
    <t>Vessel Name/ ID</t>
  </si>
  <si>
    <t>Spec</t>
  </si>
  <si>
    <t>Installation Status</t>
  </si>
  <si>
    <t>Date of Installation</t>
  </si>
  <si>
    <t>Chief Engineer Name</t>
  </si>
  <si>
    <t>Comments/Remarks</t>
  </si>
  <si>
    <t>Britoil 21</t>
  </si>
  <si>
    <t>AHT E</t>
  </si>
  <si>
    <t>MGPS</t>
  </si>
  <si>
    <t>IWTM Filter</t>
  </si>
  <si>
    <t>Britoil 22</t>
  </si>
  <si>
    <t>Britoil 41</t>
  </si>
  <si>
    <t>Done</t>
  </si>
  <si>
    <t>Britoil 60</t>
  </si>
  <si>
    <t>Britoil 61</t>
  </si>
  <si>
    <t>Britoil 62</t>
  </si>
  <si>
    <t>Not Installed</t>
  </si>
  <si>
    <t>Britoil 63</t>
  </si>
  <si>
    <t>Britoil 64</t>
  </si>
  <si>
    <t>Britoil 65</t>
  </si>
  <si>
    <t>Britoil 66</t>
  </si>
  <si>
    <t>Britoil 67</t>
  </si>
  <si>
    <t>Britoil 70</t>
  </si>
  <si>
    <t>Britoil 71</t>
  </si>
  <si>
    <t>Britoil 72</t>
  </si>
  <si>
    <t>Britoil 73</t>
  </si>
  <si>
    <t>Britoil 74</t>
  </si>
  <si>
    <t>No Need</t>
  </si>
  <si>
    <t>Britoil 80</t>
  </si>
  <si>
    <t>AHT E DP1</t>
  </si>
  <si>
    <t>Britoil 81</t>
  </si>
  <si>
    <t>Britoil 82</t>
  </si>
  <si>
    <t>Britoil 120</t>
  </si>
  <si>
    <t>AHT E DP2</t>
  </si>
  <si>
    <t>Britoil 121</t>
  </si>
  <si>
    <t>Britoil Destiny</t>
  </si>
  <si>
    <t>AHTS D DP2</t>
  </si>
  <si>
    <t>Britoil Discovery</t>
  </si>
  <si>
    <t>Britoil Dragon</t>
  </si>
  <si>
    <t>Britoil Guardian</t>
  </si>
  <si>
    <t>AHTS G DP2</t>
  </si>
  <si>
    <t>BOS Ares</t>
  </si>
  <si>
    <t>BOS Athena</t>
  </si>
  <si>
    <t>BOS Atlanta</t>
  </si>
  <si>
    <r>
      <rPr>
        <sz val="11"/>
        <color rgb="FF000000"/>
        <rFont val="Calibri"/>
        <family val="2"/>
        <scheme val="minor"/>
      </rPr>
      <t xml:space="preserve">AHTS A </t>
    </r>
    <r>
      <rPr>
        <strike/>
        <sz val="11"/>
        <color rgb="FF000000"/>
        <rFont val="Calibri"/>
        <family val="2"/>
        <scheme val="minor"/>
      </rPr>
      <t>DP2</t>
    </r>
  </si>
  <si>
    <t>BOS Atlas</t>
  </si>
  <si>
    <t>BOS Challenge</t>
  </si>
  <si>
    <r>
      <rPr>
        <sz val="11"/>
        <color rgb="FF000000"/>
        <rFont val="Calibri"/>
        <family val="2"/>
        <scheme val="minor"/>
      </rPr>
      <t xml:space="preserve">AHTS C </t>
    </r>
    <r>
      <rPr>
        <strike/>
        <sz val="11"/>
        <color rgb="FF000000"/>
        <rFont val="Calibri"/>
        <family val="2"/>
        <scheme val="minor"/>
      </rPr>
      <t>DP2</t>
    </r>
  </si>
  <si>
    <t>BOS Champion</t>
  </si>
  <si>
    <t>BOS Aphrodite</t>
  </si>
  <si>
    <t>AHTS A DP2</t>
  </si>
  <si>
    <t>BOS Apollo</t>
  </si>
  <si>
    <t>BOS Athos</t>
  </si>
  <si>
    <t>BOS Chablis</t>
  </si>
  <si>
    <t>AHTS C DP2</t>
  </si>
  <si>
    <t>BOS Champagne</t>
  </si>
  <si>
    <t>BOS Hestia</t>
  </si>
  <si>
    <t>AHTS H DP2</t>
  </si>
  <si>
    <t>BOS Tethys</t>
  </si>
  <si>
    <t>AHTS T DP2</t>
  </si>
  <si>
    <t>BOS Thalassa</t>
  </si>
  <si>
    <t>BOS Theia</t>
  </si>
  <si>
    <t>BOS Triton</t>
  </si>
  <si>
    <t>Britoil Journey</t>
  </si>
  <si>
    <t>PSV J DP2</t>
  </si>
  <si>
    <t>Britoil Justice</t>
  </si>
  <si>
    <t>BOS Pride</t>
  </si>
  <si>
    <t>PSV P DP2</t>
  </si>
  <si>
    <t>BOS Princess</t>
  </si>
  <si>
    <t>BOS Pool</t>
  </si>
  <si>
    <t>BOS Base</t>
  </si>
  <si>
    <t>PSV B DP2</t>
  </si>
  <si>
    <t>BOS Patience</t>
  </si>
  <si>
    <t>BOS Patriot</t>
  </si>
  <si>
    <t>BOS Precious</t>
  </si>
  <si>
    <t>BOS Prelude</t>
  </si>
  <si>
    <t>BOS Prime</t>
  </si>
  <si>
    <t>BOS Prince</t>
  </si>
  <si>
    <t>BOS Principle</t>
  </si>
  <si>
    <t>BOS Prudence</t>
  </si>
  <si>
    <t>BOS Purpose</t>
  </si>
  <si>
    <t>Britoil Diamond</t>
  </si>
  <si>
    <t>MPSV DP2</t>
  </si>
  <si>
    <t>Lewek Hydra</t>
  </si>
  <si>
    <t>OSV A DP2</t>
  </si>
  <si>
    <t>Nautical Aisia</t>
  </si>
  <si>
    <t>Nautical Anisha</t>
  </si>
  <si>
    <t>Paragon Sentinel</t>
  </si>
  <si>
    <t>Britoil 57</t>
  </si>
  <si>
    <t>BOS Defiance</t>
  </si>
  <si>
    <t>PSV DP2 D</t>
  </si>
  <si>
    <t>Chlorinator</t>
  </si>
  <si>
    <t>BOS Diligance</t>
  </si>
  <si>
    <t>Mashhor Princess</t>
  </si>
  <si>
    <t>ENA Habitat</t>
  </si>
  <si>
    <t>BOS Tramontana</t>
  </si>
  <si>
    <t>Device</t>
  </si>
  <si>
    <t>Total Installed</t>
  </si>
  <si>
    <r>
      <t>AHTS A</t>
    </r>
    <r>
      <rPr>
        <strike/>
        <sz val="11"/>
        <color rgb="FF000000"/>
        <rFont val="Calibri"/>
        <family val="2"/>
        <scheme val="minor"/>
      </rPr>
      <t xml:space="preserve"> DP2</t>
    </r>
  </si>
  <si>
    <t>ecr.britoil60@ship.britoil.com.sg</t>
  </si>
  <si>
    <t>Cheng britoil 80(cheng)</t>
  </si>
  <si>
    <t>↓</t>
  </si>
  <si>
    <t>AI CCTV</t>
  </si>
  <si>
    <t>Devices</t>
  </si>
  <si>
    <t>In Process</t>
  </si>
  <si>
    <t>LED lights</t>
  </si>
  <si>
    <t>In process</t>
  </si>
  <si>
    <t>Percentage in move</t>
  </si>
  <si>
    <t>EFMS</t>
  </si>
  <si>
    <t>CMCE LP</t>
  </si>
  <si>
    <t>Needed</t>
  </si>
  <si>
    <t>Update</t>
  </si>
  <si>
    <t xml:space="preserve">Please select on "Installation Status" 
when clicking into the cell, one of the
 statement written. </t>
  </si>
  <si>
    <t>Co2 savings ton/year</t>
  </si>
  <si>
    <t>Savings/year (fuel efficiency)</t>
  </si>
  <si>
    <t>Savings/year (Maitenance)</t>
  </si>
  <si>
    <t>MGO</t>
  </si>
  <si>
    <t>2000 year</t>
  </si>
  <si>
    <t>ton MGO</t>
  </si>
  <si>
    <t>price mgo</t>
  </si>
  <si>
    <t>usd</t>
  </si>
  <si>
    <t xml:space="preserve">Total Savings </t>
  </si>
  <si>
    <t>BOS DUBAI</t>
  </si>
  <si>
    <t>BOS SG</t>
  </si>
  <si>
    <t>BOS ITALY</t>
  </si>
  <si>
    <t>help column</t>
  </si>
  <si>
    <t>Captains eye</t>
  </si>
  <si>
    <t>Ships in</t>
  </si>
  <si>
    <t>1% of the total fuel cost (at least)</t>
  </si>
  <si>
    <t>CO2eq  (tons)</t>
  </si>
  <si>
    <t>Nautilus Log</t>
  </si>
  <si>
    <t>I would like all vessels to do go and 
check the status.  Here we report all 
the installation of the new  initiatives 
we put onto the whole fleet</t>
  </si>
  <si>
    <t>EACH VESSEL :    WHAT TO DO ?</t>
  </si>
  <si>
    <t>Please scroll down to your 
vessel name. You will see all 
the devices we need to track</t>
  </si>
  <si>
    <t>If possible, Please fill the 
chief engineer name 
and the installation date</t>
  </si>
  <si>
    <t>a</t>
  </si>
  <si>
    <t>To see what system</t>
  </si>
  <si>
    <t>Khrone ? Its measuring but you take daily measure</t>
  </si>
  <si>
    <t>AHTS T DP1</t>
  </si>
  <si>
    <t>factor</t>
  </si>
  <si>
    <t>There is monitor and everything. Good EFMS Khrone</t>
  </si>
  <si>
    <t>CE. ESTEBAN L. MECUANDO (B82)</t>
  </si>
  <si>
    <t>ALEXEY LOZGUNOV</t>
  </si>
  <si>
    <t>Devices  (for 100tonnage)</t>
  </si>
  <si>
    <t>Savings/year (Maitenance/MP)</t>
  </si>
  <si>
    <t>Defiance</t>
  </si>
  <si>
    <t>Fueltrax but doesn’t work+no subscription</t>
  </si>
  <si>
    <t>EFMS (Khrone) fueltrax =0</t>
  </si>
  <si>
    <t>CE Edsel Quinio</t>
  </si>
  <si>
    <t>Since build</t>
  </si>
  <si>
    <t>YUSAK AGUS KRISTIYANTO</t>
  </si>
  <si>
    <t>LED for flood lights</t>
  </si>
  <si>
    <t>all</t>
  </si>
  <si>
    <t>Discovery</t>
  </si>
  <si>
    <t>FOR FACTOR 1</t>
  </si>
  <si>
    <t>Bioguard / Discovery</t>
  </si>
  <si>
    <t>good for CO2 / Discovery</t>
  </si>
  <si>
    <t>ICAF from 2006 . Bad</t>
  </si>
  <si>
    <t>2x VAF from 2006. Too old + no subscriptions</t>
  </si>
  <si>
    <t>planned but cancelled</t>
  </si>
  <si>
    <t>factor 1</t>
  </si>
  <si>
    <t>bride 1.3</t>
  </si>
  <si>
    <t>to review, cuz 18k on website</t>
  </si>
  <si>
    <t>TO CHANGE</t>
  </si>
  <si>
    <t>Khrone electronic fuel meter only (no data collection)</t>
  </si>
  <si>
    <t>All flood lights are LED</t>
  </si>
  <si>
    <t>New Initiatives</t>
  </si>
  <si>
    <t>AHTS A DP1</t>
  </si>
  <si>
    <t>C/E - Oleksandr Svynarenko
C/E - Oleg Myelyentyev
ECR.apollo@ship.britoil.com.sg</t>
  </si>
  <si>
    <t>Bunyamin Makkawaru M</t>
  </si>
  <si>
    <t>We don’t have EFMS onboard Britoil 67, We are used only FO Flow Meter with Data: NITTO SEIKO. Liters x 10.</t>
  </si>
  <si>
    <t>Cheng britoil 74(cheng)</t>
  </si>
  <si>
    <t>Veeder Root mechanical with printer</t>
  </si>
  <si>
    <t xml:space="preserve">CE Angelito Pedregosa
ecr.britoil73@ship.britoil.com.sg </t>
  </si>
  <si>
    <t>surement krone</t>
  </si>
  <si>
    <t>1/12023</t>
  </si>
  <si>
    <t>CE SARONHI BIN TOPIK</t>
  </si>
  <si>
    <t>Khrone EFMS. Have data collection ?</t>
  </si>
  <si>
    <t>Cheng</t>
  </si>
  <si>
    <t>fueltrax with compiter monitoring</t>
  </si>
  <si>
    <t>Khrone + data collection</t>
  </si>
  <si>
    <t>Teravut  Kamsuvan</t>
  </si>
  <si>
    <t>Probably khrone + data colelction</t>
  </si>
  <si>
    <t>23-Feb. 2025</t>
  </si>
  <si>
    <t>10-Feb. 2025</t>
  </si>
  <si>
    <t>MGPS onboard-Chemical Treatment Dosing Unit by Biogard</t>
  </si>
  <si>
    <t>Flowmeters for ME's and AE's</t>
  </si>
  <si>
    <t>P10 Equipment onboard, not installed.</t>
  </si>
  <si>
    <t>Khrone</t>
  </si>
  <si>
    <t>on deck all LED type</t>
  </si>
  <si>
    <t>Savings by each</t>
  </si>
  <si>
    <t>04 Nov.2020</t>
  </si>
  <si>
    <t>07 Jan.2022</t>
  </si>
  <si>
    <t>IOW Separator</t>
  </si>
  <si>
    <t>total</t>
  </si>
  <si>
    <t>Average/vessel</t>
  </si>
  <si>
    <t>Vessels</t>
  </si>
  <si>
    <t>Co2</t>
  </si>
  <si>
    <t>RE Conversion</t>
  </si>
  <si>
    <t xml:space="preserve">       Best Savings    →</t>
  </si>
  <si>
    <t xml:space="preserve">       Best Vessel      →</t>
  </si>
  <si>
    <t>instal progr</t>
  </si>
  <si>
    <t>Average</t>
  </si>
  <si>
    <t>Installed</t>
  </si>
  <si>
    <t>In Progress</t>
  </si>
  <si>
    <t>Missing</t>
  </si>
  <si>
    <t>Goal 2026</t>
  </si>
  <si>
    <t>Current 2025</t>
  </si>
  <si>
    <t>SOLD</t>
  </si>
  <si>
    <t>Installation Progress</t>
  </si>
  <si>
    <t>Vessel Updated Info</t>
  </si>
  <si>
    <t>Fleet estimated Savings</t>
  </si>
  <si>
    <t>Brake Horsepower </t>
  </si>
  <si>
    <t>Bollard Pull </t>
  </si>
  <si>
    <t>Dimensions</t>
  </si>
  <si>
    <t>Specifications</t>
  </si>
  <si>
    <t>43.00m x 12.60m</t>
  </si>
  <si>
    <t>60.00m x 17.80m</t>
  </si>
  <si>
    <t>51.00m x 13.00m</t>
  </si>
  <si>
    <t>40.00m x 11.40m</t>
  </si>
  <si>
    <t>47.00m x 13.60m</t>
  </si>
  <si>
    <t>52.00m x 15.00m</t>
  </si>
  <si>
    <t>56.00m x 16.00m</t>
  </si>
  <si>
    <t>51.00m x 15.00m</t>
  </si>
  <si>
    <t>59.00m x 16.00m</t>
  </si>
  <si>
    <t>76.00m x 16.80m</t>
  </si>
  <si>
    <t>81.00m x 16.80m</t>
  </si>
  <si>
    <t>65.00m x 16.80m</t>
  </si>
  <si>
    <t>73.00m x 17.20m</t>
  </si>
  <si>
    <t>59.25m x 14.95m</t>
  </si>
  <si>
    <t>65.00m x 16.40m</t>
  </si>
  <si>
    <t>65.00m x 16.00m</t>
  </si>
  <si>
    <t>NA</t>
  </si>
  <si>
    <t>32.50m x 7.90m</t>
  </si>
  <si>
    <t>610 sqm</t>
  </si>
  <si>
    <t>71.50m x 15.00m</t>
  </si>
  <si>
    <t>750 sqm</t>
  </si>
  <si>
    <t>80.00m x 18.40m</t>
  </si>
  <si>
    <t>620 sqm</t>
  </si>
  <si>
    <t>71.85m x 16.00m</t>
  </si>
  <si>
    <t>850 sqm</t>
  </si>
  <si>
    <t>83.40m x 18.00m</t>
  </si>
  <si>
    <t>708 sqm</t>
  </si>
  <si>
    <t>73.60m x 16.00m</t>
  </si>
  <si>
    <t>700 sqm</t>
  </si>
  <si>
    <t>75.00m x 17.25m</t>
  </si>
  <si>
    <t>701 sqm</t>
  </si>
  <si>
    <t>703 sqm</t>
  </si>
  <si>
    <t>704 sqm</t>
  </si>
  <si>
    <t>705 sqm</t>
  </si>
  <si>
    <t>706 sqm</t>
  </si>
  <si>
    <t>707 sqm</t>
  </si>
  <si>
    <t>709 sqm</t>
  </si>
  <si>
    <t>710 sqm</t>
  </si>
  <si>
    <t>711 sqm</t>
  </si>
  <si>
    <t>fuel cons 24hours full power literse</t>
  </si>
  <si>
    <t>old value of Fuel cons fuel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</si>
</sst>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&quot;$&quot;#,##0.00"/>
    <numFmt numFmtId="165" formatCode="&quot;$&quot;#,##0.00;[Red]&quot;$&quot;#,##0.00"/>
    <numFmt numFmtId="166" formatCode="&quot;$&quot;#,##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1"/>
      <color rgb="FF00823B"/>
      <name val="Calibri"/>
      <family val="2"/>
      <scheme val="minor"/>
    </font>
    <font>
      <b/>
      <sz val="12"/>
      <color rgb="FF00823B"/>
      <name val="Calibri"/>
      <family val="2"/>
      <scheme val="minor"/>
    </font>
    <font>
      <b/>
      <sz val="13"/>
      <name val="Calibri"/>
      <family val="2"/>
      <scheme val="minor"/>
    </font>
    <font>
      <b/>
      <sz val="13"/>
      <color rgb="FF00823B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rgb="FFF4F7ED"/>
        <bgColor indexed="64"/>
      </patternFill>
    </fill>
    <fill>
      <patternFill patternType="solid">
        <fgColor rgb="FFFEF2E8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0F8FA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823B"/>
      </right>
      <top style="medium">
        <color rgb="FF00823B"/>
      </top>
      <bottom/>
      <diagonal/>
    </border>
    <border>
      <left style="medium">
        <color rgb="FF00823B"/>
      </left>
      <right/>
      <top/>
      <bottom/>
      <diagonal/>
    </border>
    <border>
      <left/>
      <right style="medium">
        <color rgb="FF00823B"/>
      </right>
      <top/>
      <bottom/>
      <diagonal/>
    </border>
    <border>
      <left style="medium">
        <color rgb="FF00823B"/>
      </left>
      <right/>
      <top/>
      <bottom style="medium">
        <color rgb="FF00823B"/>
      </bottom>
      <diagonal/>
    </border>
    <border>
      <left/>
      <right style="medium">
        <color rgb="FF00823B"/>
      </right>
      <top/>
      <bottom style="medium">
        <color rgb="FF00823B"/>
      </bottom>
      <diagonal/>
    </border>
    <border>
      <left/>
      <right/>
      <top style="medium">
        <color rgb="FF00823B"/>
      </top>
      <bottom/>
      <diagonal/>
    </border>
    <border>
      <left/>
      <right/>
      <top/>
      <bottom style="medium">
        <color rgb="FF00823B"/>
      </bottom>
      <diagonal/>
    </border>
    <border>
      <left style="medium">
        <color rgb="FF00823B"/>
      </left>
      <right/>
      <top style="medium">
        <color rgb="FF00823B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8">
    <xf numFmtId="0" fontId="0" fillId="0" borderId="0"/>
    <xf numFmtId="0" fontId="8" fillId="0" borderId="0" applyNumberForma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</cellStyleXfs>
  <cellXfs count="191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9" fontId="10" fillId="0" borderId="3" xfId="2" applyFont="1" applyFill="1" applyBorder="1" applyAlignment="1">
      <alignment horizontal="center" vertical="center"/>
    </xf>
    <xf numFmtId="9" fontId="10" fillId="0" borderId="5" xfId="2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2" fillId="0" borderId="4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2" borderId="1" xfId="0" applyFon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14" fontId="3" fillId="2" borderId="5" xfId="0" applyNumberFormat="1" applyFont="1" applyFill="1" applyBorder="1" applyAlignment="1">
      <alignment horizontal="center" vertical="center" wrapText="1"/>
    </xf>
    <xf numFmtId="14" fontId="0" fillId="3" borderId="18" xfId="0" applyNumberFormat="1" applyFill="1" applyBorder="1" applyAlignment="1">
      <alignment horizontal="center" vertical="center"/>
    </xf>
    <xf numFmtId="14" fontId="0" fillId="3" borderId="19" xfId="0" applyNumberFormat="1" applyFill="1" applyBorder="1" applyAlignment="1">
      <alignment horizontal="center" vertical="center"/>
    </xf>
    <xf numFmtId="14" fontId="0" fillId="4" borderId="18" xfId="0" applyNumberFormat="1" applyFill="1" applyBorder="1" applyAlignment="1">
      <alignment horizontal="center" vertical="center"/>
    </xf>
    <xf numFmtId="14" fontId="0" fillId="4" borderId="19" xfId="0" applyNumberFormat="1" applyFill="1" applyBorder="1" applyAlignment="1">
      <alignment horizontal="center" vertical="center"/>
    </xf>
    <xf numFmtId="14" fontId="0" fillId="4" borderId="20" xfId="0" applyNumberFormat="1" applyFill="1" applyBorder="1" applyAlignment="1">
      <alignment horizontal="center" vertical="center"/>
    </xf>
    <xf numFmtId="14" fontId="0" fillId="3" borderId="20" xfId="0" applyNumberForma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 wrapText="1"/>
    </xf>
    <xf numFmtId="0" fontId="0" fillId="4" borderId="23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 indent="3"/>
    </xf>
    <xf numFmtId="0" fontId="3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horizontal="left" vertical="center" wrapText="1" indent="3"/>
    </xf>
    <xf numFmtId="2" fontId="0" fillId="0" borderId="6" xfId="0" applyNumberFormat="1" applyBorder="1" applyAlignment="1">
      <alignment horizontal="center" vertical="center"/>
    </xf>
    <xf numFmtId="2" fontId="3" fillId="2" borderId="5" xfId="0" applyNumberFormat="1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13" fillId="3" borderId="18" xfId="0" applyNumberFormat="1" applyFont="1" applyFill="1" applyBorder="1" applyAlignment="1">
      <alignment horizontal="center" vertical="center"/>
    </xf>
    <xf numFmtId="2" fontId="13" fillId="3" borderId="18" xfId="0" applyNumberFormat="1" applyFont="1" applyFill="1" applyBorder="1" applyAlignment="1">
      <alignment horizontal="center" vertical="center"/>
    </xf>
    <xf numFmtId="164" fontId="13" fillId="3" borderId="19" xfId="0" applyNumberFormat="1" applyFont="1" applyFill="1" applyBorder="1" applyAlignment="1">
      <alignment horizontal="center" vertical="center"/>
    </xf>
    <xf numFmtId="2" fontId="13" fillId="3" borderId="19" xfId="0" applyNumberFormat="1" applyFont="1" applyFill="1" applyBorder="1" applyAlignment="1">
      <alignment horizontal="center" vertical="center"/>
    </xf>
    <xf numFmtId="164" fontId="13" fillId="4" borderId="18" xfId="0" applyNumberFormat="1" applyFont="1" applyFill="1" applyBorder="1" applyAlignment="1">
      <alignment horizontal="center" vertical="center"/>
    </xf>
    <xf numFmtId="2" fontId="13" fillId="4" borderId="18" xfId="0" applyNumberFormat="1" applyFont="1" applyFill="1" applyBorder="1" applyAlignment="1">
      <alignment horizontal="center" vertical="center"/>
    </xf>
    <xf numFmtId="164" fontId="13" fillId="4" borderId="19" xfId="0" applyNumberFormat="1" applyFont="1" applyFill="1" applyBorder="1" applyAlignment="1">
      <alignment horizontal="center" vertical="center"/>
    </xf>
    <xf numFmtId="2" fontId="13" fillId="4" borderId="19" xfId="0" applyNumberFormat="1" applyFont="1" applyFill="1" applyBorder="1" applyAlignment="1">
      <alignment horizontal="center" vertical="center"/>
    </xf>
    <xf numFmtId="164" fontId="13" fillId="4" borderId="20" xfId="0" applyNumberFormat="1" applyFont="1" applyFill="1" applyBorder="1" applyAlignment="1">
      <alignment horizontal="center" vertical="center"/>
    </xf>
    <xf numFmtId="2" fontId="13" fillId="4" borderId="20" xfId="0" applyNumberFormat="1" applyFont="1" applyFill="1" applyBorder="1" applyAlignment="1">
      <alignment horizontal="center" vertical="center"/>
    </xf>
    <xf numFmtId="164" fontId="13" fillId="3" borderId="20" xfId="0" applyNumberFormat="1" applyFont="1" applyFill="1" applyBorder="1" applyAlignment="1">
      <alignment horizontal="center" vertical="center"/>
    </xf>
    <xf numFmtId="2" fontId="13" fillId="3" borderId="20" xfId="0" applyNumberFormat="1" applyFont="1" applyFill="1" applyBorder="1" applyAlignment="1">
      <alignment horizontal="center" vertical="center"/>
    </xf>
    <xf numFmtId="165" fontId="13" fillId="3" borderId="19" xfId="0" applyNumberFormat="1" applyFont="1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6" fontId="14" fillId="5" borderId="1" xfId="0" applyNumberFormat="1" applyFont="1" applyFill="1" applyBorder="1" applyAlignment="1">
      <alignment horizontal="center" vertical="center"/>
    </xf>
    <xf numFmtId="166" fontId="14" fillId="8" borderId="1" xfId="0" applyNumberFormat="1" applyFont="1" applyFill="1" applyBorder="1" applyAlignment="1">
      <alignment horizontal="center" vertical="center"/>
    </xf>
    <xf numFmtId="166" fontId="14" fillId="4" borderId="1" xfId="0" applyNumberFormat="1" applyFont="1" applyFill="1" applyBorder="1" applyAlignment="1">
      <alignment horizontal="center" vertical="center"/>
    </xf>
    <xf numFmtId="166" fontId="13" fillId="5" borderId="24" xfId="0" applyNumberFormat="1" applyFont="1" applyFill="1" applyBorder="1" applyAlignment="1">
      <alignment horizontal="center" vertical="center"/>
    </xf>
    <xf numFmtId="166" fontId="13" fillId="8" borderId="25" xfId="0" applyNumberFormat="1" applyFont="1" applyFill="1" applyBorder="1" applyAlignment="1">
      <alignment horizontal="center" vertical="center"/>
    </xf>
    <xf numFmtId="166" fontId="13" fillId="8" borderId="24" xfId="0" applyNumberFormat="1" applyFont="1" applyFill="1" applyBorder="1" applyAlignment="1">
      <alignment horizontal="center" vertical="center"/>
    </xf>
    <xf numFmtId="166" fontId="13" fillId="8" borderId="27" xfId="0" applyNumberFormat="1" applyFont="1" applyFill="1" applyBorder="1" applyAlignment="1">
      <alignment horizontal="center" vertical="center"/>
    </xf>
    <xf numFmtId="166" fontId="13" fillId="4" borderId="25" xfId="0" applyNumberFormat="1" applyFont="1" applyFill="1" applyBorder="1" applyAlignment="1">
      <alignment horizontal="center" vertical="center"/>
    </xf>
    <xf numFmtId="166" fontId="13" fillId="4" borderId="24" xfId="0" applyNumberFormat="1" applyFont="1" applyFill="1" applyBorder="1" applyAlignment="1">
      <alignment horizontal="center" vertical="center"/>
    </xf>
    <xf numFmtId="166" fontId="13" fillId="4" borderId="27" xfId="0" applyNumberFormat="1" applyFont="1" applyFill="1" applyBorder="1" applyAlignment="1">
      <alignment horizontal="center" vertical="center"/>
    </xf>
    <xf numFmtId="0" fontId="14" fillId="7" borderId="29" xfId="0" applyFont="1" applyFill="1" applyBorder="1" applyAlignment="1">
      <alignment horizontal="center" vertical="center"/>
    </xf>
    <xf numFmtId="0" fontId="14" fillId="7" borderId="31" xfId="0" applyFont="1" applyFill="1" applyBorder="1" applyAlignment="1">
      <alignment horizontal="center" vertical="center"/>
    </xf>
    <xf numFmtId="166" fontId="17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4" fontId="17" fillId="0" borderId="26" xfId="3" applyNumberFormat="1" applyFont="1" applyBorder="1" applyAlignment="1">
      <alignment horizontal="center" vertical="center"/>
    </xf>
    <xf numFmtId="164" fontId="17" fillId="0" borderId="0" xfId="3" applyNumberFormat="1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/>
    </xf>
    <xf numFmtId="1" fontId="14" fillId="7" borderId="0" xfId="0" applyNumberFormat="1" applyFont="1" applyFill="1" applyAlignment="1">
      <alignment horizontal="center" vertical="center"/>
    </xf>
    <xf numFmtId="0" fontId="14" fillId="7" borderId="35" xfId="0" applyFont="1" applyFill="1" applyBorder="1" applyAlignment="1">
      <alignment horizontal="center" vertical="center"/>
    </xf>
    <xf numFmtId="166" fontId="14" fillId="7" borderId="33" xfId="0" applyNumberFormat="1" applyFont="1" applyFill="1" applyBorder="1" applyAlignment="1">
      <alignment horizontal="center" vertical="center"/>
    </xf>
    <xf numFmtId="1" fontId="14" fillId="7" borderId="34" xfId="0" applyNumberFormat="1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9" fontId="0" fillId="0" borderId="0" xfId="2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9" fontId="10" fillId="0" borderId="4" xfId="2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9" fontId="22" fillId="0" borderId="0" xfId="0" applyNumberFormat="1" applyFont="1" applyAlignment="1">
      <alignment horizontal="center" vertical="center"/>
    </xf>
    <xf numFmtId="9" fontId="11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 indent="2"/>
    </xf>
    <xf numFmtId="0" fontId="0" fillId="0" borderId="11" xfId="0" applyBorder="1" applyAlignment="1">
      <alignment horizontal="left" vertical="center" wrapText="1" indent="2"/>
    </xf>
    <xf numFmtId="0" fontId="0" fillId="0" borderId="13" xfId="0" applyBorder="1" applyAlignment="1">
      <alignment horizontal="left" vertical="center" wrapText="1" indent="2"/>
    </xf>
    <xf numFmtId="0" fontId="0" fillId="0" borderId="14" xfId="0" applyBorder="1" applyAlignment="1">
      <alignment horizontal="left" vertical="center" wrapText="1" indent="2"/>
    </xf>
    <xf numFmtId="0" fontId="3" fillId="5" borderId="10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 indent="3"/>
    </xf>
    <xf numFmtId="0" fontId="0" fillId="0" borderId="16" xfId="0" applyBorder="1" applyAlignment="1">
      <alignment horizontal="left" vertical="center" wrapText="1" indent="3"/>
    </xf>
    <xf numFmtId="0" fontId="0" fillId="0" borderId="1" xfId="0" applyBorder="1" applyAlignment="1">
      <alignment horizontal="left" vertical="center" wrapText="1" indent="4"/>
    </xf>
    <xf numFmtId="0" fontId="0" fillId="0" borderId="13" xfId="0" applyBorder="1" applyAlignment="1">
      <alignment horizontal="left" vertical="center" wrapText="1" indent="4"/>
    </xf>
    <xf numFmtId="0" fontId="0" fillId="0" borderId="11" xfId="0" applyBorder="1" applyAlignment="1">
      <alignment horizontal="left" vertical="center" wrapText="1" indent="3"/>
    </xf>
    <xf numFmtId="0" fontId="0" fillId="0" borderId="14" xfId="0" applyBorder="1" applyAlignment="1">
      <alignment horizontal="left" vertical="center" wrapText="1" indent="3"/>
    </xf>
    <xf numFmtId="0" fontId="8" fillId="4" borderId="3" xfId="1" applyFill="1" applyBorder="1" applyAlignment="1">
      <alignment horizontal="center" vertical="center"/>
    </xf>
    <xf numFmtId="0" fontId="8" fillId="4" borderId="5" xfId="1" applyFill="1" applyBorder="1" applyAlignment="1">
      <alignment horizontal="center" vertical="center"/>
    </xf>
    <xf numFmtId="0" fontId="8" fillId="4" borderId="4" xfId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3" fillId="5" borderId="20" xfId="0" applyFont="1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166" fontId="4" fillId="7" borderId="35" xfId="0" applyNumberFormat="1" applyFont="1" applyFill="1" applyBorder="1" applyAlignment="1">
      <alignment horizontal="center" vertical="center"/>
    </xf>
    <xf numFmtId="166" fontId="4" fillId="7" borderId="33" xfId="0" applyNumberFormat="1" applyFont="1" applyFill="1" applyBorder="1" applyAlignment="1">
      <alignment horizontal="center" vertical="center"/>
    </xf>
    <xf numFmtId="0" fontId="16" fillId="7" borderId="35" xfId="0" applyFont="1" applyFill="1" applyBorder="1" applyAlignment="1">
      <alignment horizontal="center" vertical="center"/>
    </xf>
    <xf numFmtId="0" fontId="16" fillId="7" borderId="29" xfId="0" applyFont="1" applyFill="1" applyBorder="1" applyAlignment="1">
      <alignment horizontal="center" vertical="center"/>
    </xf>
    <xf numFmtId="0" fontId="16" fillId="7" borderId="31" xfId="0" applyFont="1" applyFill="1" applyBorder="1" applyAlignment="1">
      <alignment horizontal="center" vertical="center"/>
    </xf>
    <xf numFmtId="0" fontId="15" fillId="7" borderId="28" xfId="0" applyFont="1" applyFill="1" applyBorder="1" applyAlignment="1">
      <alignment horizontal="center" vertical="center"/>
    </xf>
    <xf numFmtId="0" fontId="15" fillId="7" borderId="30" xfId="0" applyFont="1" applyFill="1" applyBorder="1" applyAlignment="1">
      <alignment horizontal="center" vertical="center"/>
    </xf>
    <xf numFmtId="0" fontId="15" fillId="7" borderId="3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18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41" xfId="0" applyFill="1" applyBorder="1" applyAlignment="1">
      <alignment horizontal="center" vertical="center"/>
    </xf>
    <xf numFmtId="0" fontId="0" fillId="4" borderId="42" xfId="0" applyFill="1" applyBorder="1" applyAlignment="1">
      <alignment horizontal="center" vertical="center"/>
    </xf>
    <xf numFmtId="0" fontId="18" fillId="4" borderId="42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 wrapText="1"/>
    </xf>
    <xf numFmtId="0" fontId="4" fillId="2" borderId="38" xfId="0" applyFont="1" applyFill="1" applyBorder="1" applyAlignment="1">
      <alignment horizontal="center" vertical="center"/>
    </xf>
    <xf numFmtId="0" fontId="23" fillId="2" borderId="36" xfId="0" applyFont="1" applyFill="1" applyBorder="1" applyAlignment="1">
      <alignment horizontal="center" vertical="center"/>
    </xf>
  </cellXfs>
  <cellStyles count="8">
    <cellStyle name="Currency" xfId="3" builtinId="4"/>
    <cellStyle name="Currency 2" xfId="4" xr:uid="{7E28B472-A8E6-44F3-B250-406E02F933F8}"/>
    <cellStyle name="Currency 3" xfId="5" xr:uid="{148EC413-2196-468E-9285-3419943DDC93}"/>
    <cellStyle name="Currency 4" xfId="6" xr:uid="{329ACC24-51A0-4722-97B4-E95D0FE71295}"/>
    <cellStyle name="Currency 5" xfId="7" xr:uid="{BB9CD91F-92C2-457A-94DC-92171C8C6AC8}"/>
    <cellStyle name="Hyperlink" xfId="1" builtinId="8"/>
    <cellStyle name="Normal" xfId="0" builtinId="0"/>
    <cellStyle name="Percent" xfId="2" builtinId="5"/>
  </cellStyles>
  <dxfs count="4"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5" tint="0.59996337778862885"/>
        </patternFill>
      </fill>
    </dxf>
  </dxfs>
  <tableStyles count="0" defaultTableStyle="TableStyleMedium9" defaultPivotStyle="PivotStyleLight16"/>
  <colors>
    <mruColors>
      <color rgb="FFD9EAD3"/>
      <color rgb="FFF4F7ED"/>
      <color rgb="FF5D8200"/>
      <color rgb="FFE5F4F7"/>
      <color rgb="FF00823B"/>
      <color rgb="FFDED900"/>
      <color rgb="FF2BFA26"/>
      <color rgb="FFFEF2E8"/>
      <color rgb="FFF0F8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microsoft.com/office/2022/11/relationships/FeaturePropertyBag" Target="featurePropertyBag/feature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Best Vessels - Cost Savings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40965025580204"/>
          <c:y val="0.16530365017500936"/>
          <c:w val="0.83218564392272532"/>
          <c:h val="0.55485614982232356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00823B"/>
            </a:solidFill>
            <a:ln>
              <a:noFill/>
            </a:ln>
            <a:effectLst>
              <a:softEdge rad="0"/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1-0611-4EC2-A36A-CCCE145870E3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2-0611-4EC2-A36A-CCCE145870E3}"/>
              </c:ext>
            </c:extLst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3-0611-4EC2-A36A-CCCE145870E3}"/>
              </c:ext>
            </c:extLst>
          </c:dPt>
          <c:dPt>
            <c:idx val="3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4-0611-4EC2-A36A-CCCE145870E3}"/>
              </c:ext>
            </c:extLst>
          </c:dPt>
          <c:dPt>
            <c:idx val="4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5-0611-4EC2-A36A-CCCE145870E3}"/>
              </c:ext>
            </c:extLst>
          </c:dPt>
          <c:dPt>
            <c:idx val="5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6-0611-4EC2-A36A-CCCE145870E3}"/>
              </c:ext>
            </c:extLst>
          </c:dPt>
          <c:dPt>
            <c:idx val="6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7-0611-4EC2-A36A-CCCE145870E3}"/>
              </c:ext>
            </c:extLst>
          </c:dPt>
          <c:dPt>
            <c:idx val="7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8-0611-4EC2-A36A-CCCE145870E3}"/>
              </c:ext>
            </c:extLst>
          </c:dPt>
          <c:dPt>
            <c:idx val="8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9-0611-4EC2-A36A-CCCE145870E3}"/>
              </c:ext>
            </c:extLst>
          </c:dPt>
          <c:dPt>
            <c:idx val="9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A-0611-4EC2-A36A-CCCE145870E3}"/>
              </c:ext>
            </c:extLst>
          </c:dPt>
          <c:cat>
            <c:strRef>
              <c:f>Summary!$A$89:$A$98</c:f>
              <c:strCache>
                <c:ptCount val="10"/>
                <c:pt idx="0">
                  <c:v>BOS Defiance</c:v>
                </c:pt>
                <c:pt idx="1">
                  <c:v>Britoil Journey</c:v>
                </c:pt>
                <c:pt idx="2">
                  <c:v>Britoil 41</c:v>
                </c:pt>
                <c:pt idx="3">
                  <c:v>BOS Champion</c:v>
                </c:pt>
                <c:pt idx="4">
                  <c:v>BOS Prince</c:v>
                </c:pt>
                <c:pt idx="5">
                  <c:v>Britoil Justice</c:v>
                </c:pt>
                <c:pt idx="6">
                  <c:v>BOS Princess</c:v>
                </c:pt>
                <c:pt idx="7">
                  <c:v>BOS Prudence</c:v>
                </c:pt>
                <c:pt idx="8">
                  <c:v>Britoil 73</c:v>
                </c:pt>
                <c:pt idx="9">
                  <c:v>BOS Principle</c:v>
                </c:pt>
              </c:strCache>
            </c:strRef>
          </c:cat>
          <c:val>
            <c:numRef>
              <c:f>Summary!$B$89:$B$98</c:f>
              <c:numCache>
                <c:formatCode>"$"#,##0</c:formatCode>
                <c:ptCount val="10"/>
                <c:pt idx="0">
                  <c:v>58744.230409575459</c:v>
                </c:pt>
                <c:pt idx="1">
                  <c:v>45700</c:v>
                </c:pt>
                <c:pt idx="2">
                  <c:v>39260</c:v>
                </c:pt>
                <c:pt idx="3">
                  <c:v>37701.355900504961</c:v>
                </c:pt>
                <c:pt idx="4">
                  <c:v>37000</c:v>
                </c:pt>
                <c:pt idx="5">
                  <c:v>36400</c:v>
                </c:pt>
                <c:pt idx="6">
                  <c:v>35900</c:v>
                </c:pt>
                <c:pt idx="7">
                  <c:v>34886.010847204037</c:v>
                </c:pt>
                <c:pt idx="8">
                  <c:v>32498.555264634371</c:v>
                </c:pt>
                <c:pt idx="9">
                  <c:v>31300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11-4EC2-A36A-CCCE14587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5"/>
        <c:axId val="34592208"/>
        <c:axId val="34576368"/>
      </c:barChart>
      <c:catAx>
        <c:axId val="34592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76368"/>
        <c:crosses val="autoZero"/>
        <c:auto val="1"/>
        <c:lblAlgn val="ctr"/>
        <c:lblOffset val="100"/>
        <c:noMultiLvlLbl val="0"/>
      </c:catAx>
      <c:valAx>
        <c:axId val="34576368"/>
        <c:scaling>
          <c:orientation val="minMax"/>
          <c:max val="6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92208"/>
        <c:crosses val="autoZero"/>
        <c:crossBetween val="between"/>
        <c:majorUnit val="10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Savings by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v>Savings</c:v>
          </c:tx>
          <c:explosion val="1"/>
          <c:dPt>
            <c:idx val="0"/>
            <c:bubble3D val="0"/>
            <c:spPr>
              <a:solidFill>
                <a:schemeClr val="accent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A48-49EF-9464-9B17910F03E5}"/>
              </c:ext>
            </c:extLst>
          </c:dPt>
          <c:dPt>
            <c:idx val="1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9A48-49EF-9464-9B17910F03E5}"/>
              </c:ext>
            </c:extLst>
          </c:dPt>
          <c:dPt>
            <c:idx val="2"/>
            <c:bubble3D val="0"/>
            <c:spPr>
              <a:solidFill>
                <a:schemeClr val="accent3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A48-49EF-9464-9B17910F03E5}"/>
              </c:ext>
            </c:extLst>
          </c:dPt>
          <c:dLbls>
            <c:dLbl>
              <c:idx val="0"/>
              <c:layout>
                <c:manualLayout>
                  <c:x val="0.1300256629597947"/>
                  <c:y val="-0.25000000000000006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48-49EF-9464-9B17910F03E5}"/>
                </c:ext>
              </c:extLst>
            </c:dLbl>
            <c:dLbl>
              <c:idx val="1"/>
              <c:layout>
                <c:manualLayout>
                  <c:x val="-0.14713430282292561"/>
                  <c:y val="6.4814814814814645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48-49EF-9464-9B17910F03E5}"/>
                </c:ext>
              </c:extLst>
            </c:dLbl>
            <c:dLbl>
              <c:idx val="2"/>
              <c:layout>
                <c:manualLayout>
                  <c:x val="-9.580838323353294E-2"/>
                  <c:y val="-0.16666666666666666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A48-49EF-9464-9B17910F03E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(Summary!$A$20,Summary!$C$20,Summary!$E$20)</c:f>
              <c:strCache>
                <c:ptCount val="3"/>
                <c:pt idx="0">
                  <c:v>BOS DUBAI</c:v>
                </c:pt>
                <c:pt idx="1">
                  <c:v>BOS SG</c:v>
                </c:pt>
                <c:pt idx="2">
                  <c:v>BOS ITALY</c:v>
                </c:pt>
              </c:strCache>
            </c:strRef>
          </c:cat>
          <c:val>
            <c:numRef>
              <c:f>(Summary!$B$20,Summary!$D$20,Summary!$F$20)</c:f>
              <c:numCache>
                <c:formatCode>"$"#,##0</c:formatCode>
                <c:ptCount val="3"/>
                <c:pt idx="0">
                  <c:v>460165.30764914909</c:v>
                </c:pt>
                <c:pt idx="1">
                  <c:v>241148.65812605203</c:v>
                </c:pt>
                <c:pt idx="2">
                  <c:v>302170.44136899197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48-49EF-9464-9B17910F03E5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7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195276849386631"/>
          <c:y val="0.44320501603966173"/>
          <c:w val="0.17795998451013295"/>
          <c:h val="0.267995406824146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Savings</a:t>
            </a:r>
            <a:r>
              <a:rPr lang="en-SG" baseline="0"/>
              <a:t> by devices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G"/>
        </a:p>
      </c:txPr>
    </c:title>
    <c:autoTitleDeleted val="0"/>
    <c:plotArea>
      <c:layout>
        <c:manualLayout>
          <c:layoutTarget val="inner"/>
          <c:xMode val="edge"/>
          <c:yMode val="edge"/>
          <c:x val="0.22197619723764034"/>
          <c:y val="0.21800925925925929"/>
          <c:w val="0.39058360655737706"/>
          <c:h val="0.68939814814814815"/>
        </c:manualLayout>
      </c:layout>
      <c:doughnutChart>
        <c:varyColors val="1"/>
        <c:ser>
          <c:idx val="0"/>
          <c:order val="0"/>
          <c:explosion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D438-494D-A117-67409F460F2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45C-4FB9-A73E-C0FA344B72D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45C-4FB9-A73E-C0FA344B72D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45C-4FB9-A73E-C0FA344B72D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45C-4FB9-A73E-C0FA344B72D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45C-4FB9-A73E-C0FA344B72D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45C-4FB9-A73E-C0FA344B72D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E45C-4FB9-A73E-C0FA344B72DA}"/>
              </c:ext>
            </c:extLst>
          </c:dPt>
          <c:dLbls>
            <c:dLbl>
              <c:idx val="0"/>
              <c:layout>
                <c:manualLayout>
                  <c:x val="8.3934426229508197E-2"/>
                  <c:y val="-0.31944444444444448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438-494D-A117-67409F460F2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Summary!$A$3:$A$10</c:f>
              <c:strCache>
                <c:ptCount val="8"/>
                <c:pt idx="0">
                  <c:v>MGPS</c:v>
                </c:pt>
                <c:pt idx="1">
                  <c:v>Chlorinator</c:v>
                </c:pt>
                <c:pt idx="2">
                  <c:v>CMCE LP</c:v>
                </c:pt>
                <c:pt idx="3">
                  <c:v>IWTM Filter</c:v>
                </c:pt>
                <c:pt idx="4">
                  <c:v>LED lights</c:v>
                </c:pt>
                <c:pt idx="5">
                  <c:v>EFMS</c:v>
                </c:pt>
                <c:pt idx="6">
                  <c:v>AI CCTV</c:v>
                </c:pt>
                <c:pt idx="7">
                  <c:v>Nautilus Log</c:v>
                </c:pt>
              </c:strCache>
            </c:strRef>
          </c:cat>
          <c:val>
            <c:numRef>
              <c:f>Summary!$N$3:$N$10</c:f>
              <c:numCache>
                <c:formatCode>General</c:formatCode>
                <c:ptCount val="8"/>
                <c:pt idx="0">
                  <c:v>577600</c:v>
                </c:pt>
                <c:pt idx="1">
                  <c:v>0</c:v>
                </c:pt>
                <c:pt idx="2">
                  <c:v>900</c:v>
                </c:pt>
                <c:pt idx="3">
                  <c:v>85500</c:v>
                </c:pt>
                <c:pt idx="4">
                  <c:v>158100</c:v>
                </c:pt>
                <c:pt idx="5">
                  <c:v>177100</c:v>
                </c:pt>
                <c:pt idx="6">
                  <c:v>20000</c:v>
                </c:pt>
                <c:pt idx="7">
                  <c:v>110000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38-494D-A117-67409F460F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7"/>
      </c:doughnutChart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0.72091266204771109"/>
          <c:y val="0.3306463254593176"/>
          <c:w val="0.19184840583451662"/>
          <c:h val="0.535990813648293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Savings by Region -</a:t>
            </a:r>
            <a:r>
              <a:rPr lang="en-SG" baseline="0"/>
              <a:t> Average per vessel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G"/>
        </a:p>
      </c:txPr>
    </c:title>
    <c:autoTitleDeleted val="0"/>
    <c:plotArea>
      <c:layout>
        <c:manualLayout>
          <c:layoutTarget val="inner"/>
          <c:xMode val="edge"/>
          <c:yMode val="edge"/>
          <c:x val="0.21687595776985277"/>
          <c:y val="0.17171296296296298"/>
          <c:w val="0.6396262843826136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0EC-4C99-808B-CDBBC6A96892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F0EC-4C99-808B-CDBBC6A9689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0EC-4C99-808B-CDBBC6A96892}"/>
              </c:ext>
            </c:extLst>
          </c:dPt>
          <c:cat>
            <c:strRef>
              <c:f>Summary!$Q$23:$Q$25</c:f>
              <c:strCache>
                <c:ptCount val="3"/>
                <c:pt idx="0">
                  <c:v>BOS ITALY</c:v>
                </c:pt>
                <c:pt idx="1">
                  <c:v>BOS SG</c:v>
                </c:pt>
                <c:pt idx="2">
                  <c:v>BOS DUBAI</c:v>
                </c:pt>
              </c:strCache>
            </c:strRef>
          </c:cat>
          <c:val>
            <c:numRef>
              <c:f>Summary!$S$23:$S$25</c:f>
              <c:numCache>
                <c:formatCode>"$"#,##0.00</c:formatCode>
                <c:ptCount val="3"/>
                <c:pt idx="0">
                  <c:v>13137.845276912694</c:v>
                </c:pt>
                <c:pt idx="1">
                  <c:v>15071.791132878252</c:v>
                </c:pt>
                <c:pt idx="2">
                  <c:v>16434.475273183896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EC-4C99-808B-CDBBC6A968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7"/>
        <c:overlap val="3"/>
        <c:axId val="1374313696"/>
        <c:axId val="1374314176"/>
      </c:barChart>
      <c:catAx>
        <c:axId val="137431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4314176"/>
        <c:crosses val="autoZero"/>
        <c:auto val="1"/>
        <c:lblAlgn val="ctr"/>
        <c:lblOffset val="100"/>
        <c:noMultiLvlLbl val="0"/>
      </c:catAx>
      <c:valAx>
        <c:axId val="1374314176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4313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baseline="0"/>
              <a:t>Co2 saved by devices</a:t>
            </a:r>
            <a:endParaRPr lang="en-SG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2197619723764034"/>
          <c:y val="0.21800925925925929"/>
          <c:w val="0.39058360655737706"/>
          <c:h val="0.68939814814814815"/>
        </c:manualLayout>
      </c:layout>
      <c:doughnutChart>
        <c:varyColors val="1"/>
        <c:ser>
          <c:idx val="0"/>
          <c:order val="0"/>
          <c:explosion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0DD-4F8A-9AB9-303950EFBDD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0DD-4F8A-9AB9-303950EFBDD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0DD-4F8A-9AB9-303950EFBDD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0DD-4F8A-9AB9-303950EFBDD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0DD-4F8A-9AB9-303950EFBDD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0DD-4F8A-9AB9-303950EFBDD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0DD-4F8A-9AB9-303950EFBDD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40DD-4F8A-9AB9-303950EFBDD8}"/>
              </c:ext>
            </c:extLst>
          </c:dPt>
          <c:cat>
            <c:strRef>
              <c:f>Summary!$A$3:$A$10</c:f>
              <c:strCache>
                <c:ptCount val="8"/>
                <c:pt idx="0">
                  <c:v>MGPS</c:v>
                </c:pt>
                <c:pt idx="1">
                  <c:v>Chlorinator</c:v>
                </c:pt>
                <c:pt idx="2">
                  <c:v>CMCE LP</c:v>
                </c:pt>
                <c:pt idx="3">
                  <c:v>IWTM Filter</c:v>
                </c:pt>
                <c:pt idx="4">
                  <c:v>LED lights</c:v>
                </c:pt>
                <c:pt idx="5">
                  <c:v>EFMS</c:v>
                </c:pt>
                <c:pt idx="6">
                  <c:v>AI CCTV</c:v>
                </c:pt>
                <c:pt idx="7">
                  <c:v>Nautilus Log</c:v>
                </c:pt>
              </c:strCache>
            </c:strRef>
          </c:cat>
          <c:val>
            <c:numRef>
              <c:f>Summary!$O$3:$O$10</c:f>
              <c:numCache>
                <c:formatCode>General</c:formatCode>
                <c:ptCount val="8"/>
                <c:pt idx="0">
                  <c:v>2432</c:v>
                </c:pt>
                <c:pt idx="1">
                  <c:v>0</c:v>
                </c:pt>
                <c:pt idx="2">
                  <c:v>0</c:v>
                </c:pt>
                <c:pt idx="3">
                  <c:v>165</c:v>
                </c:pt>
                <c:pt idx="4">
                  <c:v>765</c:v>
                </c:pt>
                <c:pt idx="5">
                  <c:v>935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0DD-4F8A-9AB9-303950EFBD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57"/>
      </c:doughnutChart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7"/>
        <c:delete val="1"/>
      </c:legendEntry>
      <c:layout>
        <c:manualLayout>
          <c:xMode val="edge"/>
          <c:yMode val="edge"/>
          <c:x val="0.72091266204771109"/>
          <c:y val="0.3306463254593176"/>
          <c:w val="0.19184840583451662"/>
          <c:h val="0.535990813648293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Best Vessels - Sustainability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40965025580204"/>
          <c:y val="0.16530365017500936"/>
          <c:w val="0.83218564392272532"/>
          <c:h val="0.55485614982232356"/>
        </c:manualLayout>
      </c:layout>
      <c:barChart>
        <c:barDir val="col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8A7-4566-8DB9-4264067E5BCB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8A7-4566-8DB9-4264067E5BCB}"/>
              </c:ext>
            </c:extLst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8A7-4566-8DB9-4264067E5BCB}"/>
              </c:ext>
            </c:extLst>
          </c:dPt>
          <c:dPt>
            <c:idx val="3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8A7-4566-8DB9-4264067E5BCB}"/>
              </c:ext>
            </c:extLst>
          </c:dPt>
          <c:dPt>
            <c:idx val="4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28A7-4566-8DB9-4264067E5BCB}"/>
              </c:ext>
            </c:extLst>
          </c:dPt>
          <c:dPt>
            <c:idx val="5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28A7-4566-8DB9-4264067E5BCB}"/>
              </c:ext>
            </c:extLst>
          </c:dPt>
          <c:dPt>
            <c:idx val="6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28A7-4566-8DB9-4264067E5BCB}"/>
              </c:ext>
            </c:extLst>
          </c:dPt>
          <c:dPt>
            <c:idx val="7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28A7-4566-8DB9-4264067E5BCB}"/>
              </c:ext>
            </c:extLst>
          </c:dPt>
          <c:dPt>
            <c:idx val="8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28A7-4566-8DB9-4264067E5BCB}"/>
              </c:ext>
            </c:extLst>
          </c:dPt>
          <c:dPt>
            <c:idx val="9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28A7-4566-8DB9-4264067E5BCB}"/>
              </c:ext>
            </c:extLst>
          </c:dPt>
          <c:cat>
            <c:strRef>
              <c:f>Summary!$E$89:$E$98</c:f>
              <c:strCache>
                <c:ptCount val="10"/>
                <c:pt idx="0">
                  <c:v>BOS Princess</c:v>
                </c:pt>
                <c:pt idx="1">
                  <c:v>BOS Defiance</c:v>
                </c:pt>
                <c:pt idx="2">
                  <c:v>Britoil Journey</c:v>
                </c:pt>
                <c:pt idx="3">
                  <c:v>BOS Champion</c:v>
                </c:pt>
                <c:pt idx="4">
                  <c:v>BOS Prince</c:v>
                </c:pt>
                <c:pt idx="5">
                  <c:v>Britoil Justice</c:v>
                </c:pt>
                <c:pt idx="6">
                  <c:v>BOS Ares</c:v>
                </c:pt>
                <c:pt idx="7">
                  <c:v>BOS Prudence</c:v>
                </c:pt>
                <c:pt idx="8">
                  <c:v>Britoil 73</c:v>
                </c:pt>
                <c:pt idx="9">
                  <c:v>BOS Principle</c:v>
                </c:pt>
              </c:strCache>
            </c:strRef>
          </c:cat>
          <c:val>
            <c:numRef>
              <c:f>Summary!$I$89:$I$98</c:f>
              <c:numCache>
                <c:formatCode>0.00</c:formatCode>
                <c:ptCount val="10"/>
                <c:pt idx="0" formatCode="General">
                  <c:v>100</c:v>
                </c:pt>
                <c:pt idx="1">
                  <c:v>89.814763131015241</c:v>
                </c:pt>
                <c:pt idx="2" formatCode="General">
                  <c:v>77.874725274725279</c:v>
                </c:pt>
                <c:pt idx="3" formatCode="General">
                  <c:v>68.380418433259294</c:v>
                </c:pt>
                <c:pt idx="4" formatCode="General">
                  <c:v>63.652747252747261</c:v>
                </c:pt>
                <c:pt idx="5" formatCode="General">
                  <c:v>60.891428571428577</c:v>
                </c:pt>
                <c:pt idx="6" formatCode="General">
                  <c:v>60.198057861345674</c:v>
                </c:pt>
                <c:pt idx="7" formatCode="General">
                  <c:v>60.015957597666969</c:v>
                </c:pt>
                <c:pt idx="8" formatCode="General">
                  <c:v>58.823948172642773</c:v>
                </c:pt>
                <c:pt idx="9" formatCode="General">
                  <c:v>56.6545054945055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28A7-4566-8DB9-4264067E5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5"/>
        <c:axId val="34592208"/>
        <c:axId val="34576368"/>
      </c:barChart>
      <c:catAx>
        <c:axId val="34592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76368"/>
        <c:crosses val="autoZero"/>
        <c:auto val="1"/>
        <c:lblAlgn val="ctr"/>
        <c:lblOffset val="100"/>
        <c:noMultiLvlLbl val="0"/>
      </c:catAx>
      <c:valAx>
        <c:axId val="3457636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92208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Installations</a:t>
            </a:r>
            <a:r>
              <a:rPr lang="en-SG" baseline="0"/>
              <a:t> Progress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G"/>
        </a:p>
      </c:txPr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spPr>
            <a:solidFill>
              <a:srgbClr val="00B050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848-4450-B2D7-A0258CA4356E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510-49BC-A1E2-64F2A874BE68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510-49BC-A1E2-64F2A874BE68}"/>
              </c:ext>
            </c:extLst>
          </c:dPt>
          <c:dPt>
            <c:idx val="3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848-4450-B2D7-A0258CA4356E}"/>
              </c:ext>
            </c:extLst>
          </c:dPt>
          <c:dPt>
            <c:idx val="4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510-49BC-A1E2-64F2A874BE68}"/>
              </c:ext>
            </c:extLst>
          </c:dPt>
          <c:dPt>
            <c:idx val="5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7510-49BC-A1E2-64F2A874BE68}"/>
              </c:ext>
            </c:extLst>
          </c:dPt>
          <c:dPt>
            <c:idx val="6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5848-4450-B2D7-A0258CA4356E}"/>
              </c:ext>
            </c:extLst>
          </c:dPt>
          <c:dPt>
            <c:idx val="7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5848-4450-B2D7-A0258CA4356E}"/>
              </c:ext>
            </c:extLst>
          </c:dPt>
          <c:dPt>
            <c:idx val="8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5848-4450-B2D7-A0258CA4356E}"/>
              </c:ext>
            </c:extLst>
          </c:dPt>
          <c:dPt>
            <c:idx val="9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510-49BC-A1E2-64F2A874BE68}"/>
              </c:ext>
            </c:extLst>
          </c:dPt>
          <c:dPt>
            <c:idx val="10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7510-49BC-A1E2-64F2A874BE68}"/>
              </c:ext>
            </c:extLst>
          </c:dPt>
          <c:dLbls>
            <c:dLbl>
              <c:idx val="1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510-49BC-A1E2-64F2A874BE6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Summary!$Q$3:$Q$13</c:f>
              <c:strCache>
                <c:ptCount val="11"/>
                <c:pt idx="0">
                  <c:v>MGPS</c:v>
                </c:pt>
                <c:pt idx="1">
                  <c:v>Chlorinator</c:v>
                </c:pt>
                <c:pt idx="2">
                  <c:v>CMCE LP</c:v>
                </c:pt>
                <c:pt idx="3">
                  <c:v>IWTM Filter</c:v>
                </c:pt>
                <c:pt idx="4">
                  <c:v>LED lights</c:v>
                </c:pt>
                <c:pt idx="5">
                  <c:v>EFMS</c:v>
                </c:pt>
                <c:pt idx="6">
                  <c:v>AI CCTV</c:v>
                </c:pt>
                <c:pt idx="7">
                  <c:v>Nautilus Log</c:v>
                </c:pt>
                <c:pt idx="8">
                  <c:v>RE Conversion</c:v>
                </c:pt>
                <c:pt idx="9">
                  <c:v>IOW Separator</c:v>
                </c:pt>
                <c:pt idx="10">
                  <c:v>Average</c:v>
                </c:pt>
              </c:strCache>
            </c:strRef>
          </c:cat>
          <c:val>
            <c:numRef>
              <c:f>Summary!$R$3:$R$13</c:f>
              <c:numCache>
                <c:formatCode>0%</c:formatCode>
                <c:ptCount val="11"/>
                <c:pt idx="0">
                  <c:v>0.62903225806451613</c:v>
                </c:pt>
                <c:pt idx="1">
                  <c:v>0.03</c:v>
                </c:pt>
                <c:pt idx="2">
                  <c:v>0.22500000000000001</c:v>
                </c:pt>
                <c:pt idx="3">
                  <c:v>0.50819672131147542</c:v>
                </c:pt>
                <c:pt idx="4">
                  <c:v>0.25757575757575757</c:v>
                </c:pt>
                <c:pt idx="5">
                  <c:v>0.18461538461538463</c:v>
                </c:pt>
                <c:pt idx="6">
                  <c:v>0.8</c:v>
                </c:pt>
                <c:pt idx="7">
                  <c:v>0.82089552238805974</c:v>
                </c:pt>
                <c:pt idx="8">
                  <c:v>1</c:v>
                </c:pt>
                <c:pt idx="9">
                  <c:v>0.03</c:v>
                </c:pt>
                <c:pt idx="10">
                  <c:v>0.44853156439551939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10-49BC-A1E2-64F2A874BE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6257856"/>
        <c:axId val="46258336"/>
      </c:barChart>
      <c:catAx>
        <c:axId val="46257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58336"/>
        <c:crosses val="autoZero"/>
        <c:auto val="1"/>
        <c:lblAlgn val="ctr"/>
        <c:lblOffset val="100"/>
        <c:noMultiLvlLbl val="0"/>
      </c:catAx>
      <c:valAx>
        <c:axId val="4625833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57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Track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41111111111112"/>
          <c:y val="0.18793263090676884"/>
          <c:w val="0.7836957264957265"/>
          <c:h val="0.6149843248760571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Summary!$T$2</c:f>
              <c:strCache>
                <c:ptCount val="1"/>
                <c:pt idx="0">
                  <c:v>Installed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Summary!$S$3:$S$5</c:f>
              <c:strCache>
                <c:ptCount val="3"/>
                <c:pt idx="0">
                  <c:v>Current 2025</c:v>
                </c:pt>
                <c:pt idx="1">
                  <c:v>Needed</c:v>
                </c:pt>
                <c:pt idx="2">
                  <c:v>Goal 2026</c:v>
                </c:pt>
              </c:strCache>
            </c:strRef>
          </c:cat>
          <c:val>
            <c:numRef>
              <c:f>Summary!$T$3:$T$5</c:f>
              <c:numCache>
                <c:formatCode>General</c:formatCode>
                <c:ptCount val="3"/>
                <c:pt idx="0">
                  <c:v>150</c:v>
                </c:pt>
                <c:pt idx="1">
                  <c:v>0</c:v>
                </c:pt>
                <c:pt idx="2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28-4BBF-BD31-E742E5A801BE}"/>
            </c:ext>
          </c:extLst>
        </c:ser>
        <c:ser>
          <c:idx val="1"/>
          <c:order val="1"/>
          <c:tx>
            <c:strRef>
              <c:f>Summary!$U$2</c:f>
              <c:strCache>
                <c:ptCount val="1"/>
                <c:pt idx="0">
                  <c:v>In Progress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Summary!$S$3:$S$5</c:f>
              <c:strCache>
                <c:ptCount val="3"/>
                <c:pt idx="0">
                  <c:v>Current 2025</c:v>
                </c:pt>
                <c:pt idx="1">
                  <c:v>Needed</c:v>
                </c:pt>
                <c:pt idx="2">
                  <c:v>Goal 2026</c:v>
                </c:pt>
              </c:strCache>
            </c:strRef>
          </c:cat>
          <c:val>
            <c:numRef>
              <c:f>Summary!$U$3:$U$5</c:f>
              <c:numCache>
                <c:formatCode>General</c:formatCode>
                <c:ptCount val="3"/>
                <c:pt idx="0">
                  <c:v>19</c:v>
                </c:pt>
                <c:pt idx="1">
                  <c:v>0</c:v>
                </c:pt>
                <c:pt idx="2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28-4BBF-BD31-E742E5A801BE}"/>
            </c:ext>
          </c:extLst>
        </c:ser>
        <c:ser>
          <c:idx val="2"/>
          <c:order val="2"/>
          <c:tx>
            <c:strRef>
              <c:f>Summary!$V$2</c:f>
              <c:strCache>
                <c:ptCount val="1"/>
                <c:pt idx="0">
                  <c:v>Missing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Summary!$S$3:$S$5</c:f>
              <c:strCache>
                <c:ptCount val="3"/>
                <c:pt idx="0">
                  <c:v>Current 2025</c:v>
                </c:pt>
                <c:pt idx="1">
                  <c:v>Needed</c:v>
                </c:pt>
                <c:pt idx="2">
                  <c:v>Goal 2026</c:v>
                </c:pt>
              </c:strCache>
            </c:strRef>
          </c:cat>
          <c:val>
            <c:numRef>
              <c:f>Summary!$V$3:$V$5</c:f>
              <c:numCache>
                <c:formatCode>General</c:formatCode>
                <c:ptCount val="3"/>
                <c:pt idx="0">
                  <c:v>201</c:v>
                </c:pt>
                <c:pt idx="1">
                  <c:v>0</c:v>
                </c:pt>
                <c:pt idx="2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28-4BBF-BD31-E742E5A801BE}"/>
            </c:ext>
          </c:extLst>
        </c:ser>
        <c:ser>
          <c:idx val="3"/>
          <c:order val="3"/>
          <c:tx>
            <c:strRef>
              <c:f>Summary!$W$2</c:f>
              <c:strCache>
                <c:ptCount val="1"/>
                <c:pt idx="0">
                  <c:v>Needed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Summary!$S$3:$S$5</c:f>
              <c:strCache>
                <c:ptCount val="3"/>
                <c:pt idx="0">
                  <c:v>Current 2025</c:v>
                </c:pt>
                <c:pt idx="1">
                  <c:v>Needed</c:v>
                </c:pt>
                <c:pt idx="2">
                  <c:v>Goal 2026</c:v>
                </c:pt>
              </c:strCache>
            </c:strRef>
          </c:cat>
          <c:val>
            <c:numRef>
              <c:f>Summary!$W$3:$W$5</c:f>
              <c:numCache>
                <c:formatCode>General</c:formatCode>
                <c:ptCount val="3"/>
                <c:pt idx="0">
                  <c:v>0</c:v>
                </c:pt>
                <c:pt idx="1">
                  <c:v>370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28-4BBF-BD31-E742E5A801BE}"/>
            </c:ext>
          </c:extLst>
        </c:ser>
        <c:ser>
          <c:idx val="4"/>
          <c:order val="4"/>
          <c:tx>
            <c:strRef>
              <c:f>Summary!$X$2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Summary!$S$3:$S$5</c:f>
              <c:strCache>
                <c:ptCount val="3"/>
                <c:pt idx="0">
                  <c:v>Current 2025</c:v>
                </c:pt>
                <c:pt idx="1">
                  <c:v>Needed</c:v>
                </c:pt>
                <c:pt idx="2">
                  <c:v>Goal 2026</c:v>
                </c:pt>
              </c:strCache>
            </c:strRef>
          </c:cat>
          <c:val>
            <c:numRef>
              <c:f>Summary!$S$3:$S$5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28-4BBF-BD31-E742E5A80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26850607"/>
        <c:axId val="226852047"/>
      </c:barChart>
      <c:catAx>
        <c:axId val="226850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852047"/>
        <c:crosses val="autoZero"/>
        <c:auto val="1"/>
        <c:lblAlgn val="ctr"/>
        <c:lblOffset val="100"/>
        <c:noMultiLvlLbl val="0"/>
      </c:catAx>
      <c:valAx>
        <c:axId val="226852047"/>
        <c:scaling>
          <c:orientation val="minMax"/>
          <c:max val="375"/>
          <c:min val="0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850607"/>
        <c:crosses val="autoZero"/>
        <c:crossBetween val="between"/>
        <c:majorUnit val="75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microsoft.com/office/2011/relationships/webextension" Target="../webextensions/webextension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svg"/><Relationship Id="rId3" Type="http://schemas.openxmlformats.org/officeDocument/2006/relationships/chart" Target="../charts/chart3.xml"/><Relationship Id="rId7" Type="http://schemas.openxmlformats.org/officeDocument/2006/relationships/image" Target="../media/image3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8.xml"/><Relationship Id="rId4" Type="http://schemas.openxmlformats.org/officeDocument/2006/relationships/chart" Target="../charts/chart4.xml"/><Relationship Id="rId9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sv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2106705</xdr:colOff>
      <xdr:row>4</xdr:row>
      <xdr:rowOff>115234</xdr:rowOff>
    </xdr:from>
    <xdr:to>
      <xdr:col>5</xdr:col>
      <xdr:colOff>168088</xdr:colOff>
      <xdr:row>5</xdr:row>
      <xdr:rowOff>123265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5E3FB68C-163C-95F0-1858-CEAC7E9B2A44}"/>
            </a:ext>
          </a:extLst>
        </xdr:cNvPr>
        <xdr:cNvSpPr/>
      </xdr:nvSpPr>
      <xdr:spPr>
        <a:xfrm>
          <a:off x="6611470" y="1146175"/>
          <a:ext cx="302559" cy="265766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12</xdr:col>
      <xdr:colOff>405468</xdr:colOff>
      <xdr:row>7</xdr:row>
      <xdr:rowOff>139886</xdr:rowOff>
    </xdr:from>
    <xdr:to>
      <xdr:col>17</xdr:col>
      <xdr:colOff>254560</xdr:colOff>
      <xdr:row>17</xdr:row>
      <xdr:rowOff>291353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5" name="Add-in 4">
              <a:extLst>
                <a:ext uri="{FF2B5EF4-FFF2-40B4-BE49-F238E27FC236}">
                  <a16:creationId xmlns:a16="http://schemas.microsoft.com/office/drawing/2014/main" id="{F1F42FE5-C4F2-4F60-388E-1DDD5576F62A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5" name="Add-in 4">
              <a:extLst>
                <a:ext uri="{FF2B5EF4-FFF2-40B4-BE49-F238E27FC236}">
                  <a16:creationId xmlns:a16="http://schemas.microsoft.com/office/drawing/2014/main" id="{F1F42FE5-C4F2-4F60-388E-1DDD5576F62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1411941</xdr:colOff>
      <xdr:row>4</xdr:row>
      <xdr:rowOff>115234</xdr:rowOff>
    </xdr:from>
    <xdr:to>
      <xdr:col>7</xdr:col>
      <xdr:colOff>184150</xdr:colOff>
      <xdr:row>5</xdr:row>
      <xdr:rowOff>171824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D15B7FAB-EB73-4C41-99F1-120E83BE210E}"/>
            </a:ext>
          </a:extLst>
        </xdr:cNvPr>
        <xdr:cNvSpPr/>
      </xdr:nvSpPr>
      <xdr:spPr>
        <a:xfrm>
          <a:off x="9734176" y="1131234"/>
          <a:ext cx="311150" cy="310590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754063</xdr:colOff>
      <xdr:row>13</xdr:row>
      <xdr:rowOff>19049</xdr:rowOff>
    </xdr:from>
    <xdr:to>
      <xdr:col>13</xdr:col>
      <xdr:colOff>438150</xdr:colOff>
      <xdr:row>20</xdr:row>
      <xdr:rowOff>296861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9B1868-B047-7143-39B5-3557EFA01E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796925</xdr:colOff>
      <xdr:row>21</xdr:row>
      <xdr:rowOff>69850</xdr:rowOff>
    </xdr:from>
    <xdr:to>
      <xdr:col>13</xdr:col>
      <xdr:colOff>479475</xdr:colOff>
      <xdr:row>29</xdr:row>
      <xdr:rowOff>273050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AEC6E2-2002-8B4E-201A-50A154D3DC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790575</xdr:colOff>
      <xdr:row>30</xdr:row>
      <xdr:rowOff>50800</xdr:rowOff>
    </xdr:from>
    <xdr:to>
      <xdr:col>13</xdr:col>
      <xdr:colOff>473125</xdr:colOff>
      <xdr:row>38</xdr:row>
      <xdr:rowOff>254000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63346CA-0F9A-19B7-369B-A966005965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85724</xdr:colOff>
      <xdr:row>21</xdr:row>
      <xdr:rowOff>19050</xdr:rowOff>
    </xdr:from>
    <xdr:to>
      <xdr:col>26</xdr:col>
      <xdr:colOff>498524</xdr:colOff>
      <xdr:row>29</xdr:row>
      <xdr:rowOff>222250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7A751E5-8FBE-7EEF-8E2F-0502F9D0A5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476250</xdr:colOff>
      <xdr:row>30</xdr:row>
      <xdr:rowOff>82550</xdr:rowOff>
    </xdr:from>
    <xdr:to>
      <xdr:col>21</xdr:col>
      <xdr:colOff>355650</xdr:colOff>
      <xdr:row>38</xdr:row>
      <xdr:rowOff>285750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1E1D0E3-2897-488B-8886-A7808D3B28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514350</xdr:colOff>
      <xdr:row>13</xdr:row>
      <xdr:rowOff>19050</xdr:rowOff>
    </xdr:from>
    <xdr:to>
      <xdr:col>20</xdr:col>
      <xdr:colOff>393750</xdr:colOff>
      <xdr:row>20</xdr:row>
      <xdr:rowOff>296862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65917D5-7642-4D35-80F3-8FBCB1300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21</xdr:col>
      <xdr:colOff>584282</xdr:colOff>
      <xdr:row>14</xdr:row>
      <xdr:rowOff>29161</xdr:rowOff>
    </xdr:from>
    <xdr:to>
      <xdr:col>22</xdr:col>
      <xdr:colOff>235055</xdr:colOff>
      <xdr:row>14</xdr:row>
      <xdr:rowOff>286359</xdr:rowOff>
    </xdr:to>
    <xdr:pic>
      <xdr:nvPicPr>
        <xdr:cNvPr id="12" name="Graphic 11" descr="Crown with solid fill">
          <a:extLst>
            <a:ext uri="{FF2B5EF4-FFF2-40B4-BE49-F238E27FC236}">
              <a16:creationId xmlns:a16="http://schemas.microsoft.com/office/drawing/2014/main" id="{4974C0A3-15A1-F1EC-E2D8-0C442CD80D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9951782" y="4474161"/>
          <a:ext cx="257198" cy="257198"/>
        </a:xfrm>
        <a:prstGeom prst="rect">
          <a:avLst/>
        </a:prstGeom>
      </xdr:spPr>
    </xdr:pic>
    <xdr:clientData/>
  </xdr:twoCellAnchor>
  <xdr:twoCellAnchor>
    <xdr:from>
      <xdr:col>6</xdr:col>
      <xdr:colOff>809624</xdr:colOff>
      <xdr:row>39</xdr:row>
      <xdr:rowOff>133350</xdr:rowOff>
    </xdr:from>
    <xdr:to>
      <xdr:col>13</xdr:col>
      <xdr:colOff>492174</xdr:colOff>
      <xdr:row>49</xdr:row>
      <xdr:rowOff>90350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C26028BC-C42D-7CE7-C94F-606CA6CECB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13</xdr:col>
      <xdr:colOff>600074</xdr:colOff>
      <xdr:row>39</xdr:row>
      <xdr:rowOff>139700</xdr:rowOff>
    </xdr:from>
    <xdr:to>
      <xdr:col>20</xdr:col>
      <xdr:colOff>479474</xdr:colOff>
      <xdr:row>49</xdr:row>
      <xdr:rowOff>96700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5D51C8C-3A27-2DDA-1541-C0F0409FCB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0.31223</cdr:x>
      <cdr:y>0.50231</cdr:y>
    </cdr:from>
    <cdr:to>
      <cdr:x>0.47648</cdr:x>
      <cdr:y>0.625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81B3E1C-34D5-C985-51E2-356020FC0854}"/>
            </a:ext>
          </a:extLst>
        </cdr:cNvPr>
        <cdr:cNvSpPr txBox="1"/>
      </cdr:nvSpPr>
      <cdr:spPr>
        <a:xfrm xmlns:a="http://schemas.openxmlformats.org/drawingml/2006/main">
          <a:off x="1158875" y="1377950"/>
          <a:ext cx="609600" cy="3365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0.3377</cdr:x>
      <cdr:y>0.4838</cdr:y>
    </cdr:from>
    <cdr:to>
      <cdr:x>0.48066</cdr:x>
      <cdr:y>0.63426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267BA392-5609-F672-B3F2-2DC2C1AE1DB2}"/>
            </a:ext>
          </a:extLst>
        </cdr:cNvPr>
        <cdr:cNvSpPr txBox="1"/>
      </cdr:nvSpPr>
      <cdr:spPr>
        <a:xfrm xmlns:a="http://schemas.openxmlformats.org/drawingml/2006/main">
          <a:off x="1635125" y="1327150"/>
          <a:ext cx="692150" cy="412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en-SG" sz="1100" b="1" kern="1200">
              <a:solidFill>
                <a:srgbClr val="00823B"/>
              </a:solidFill>
            </a:rPr>
            <a:t>1.03 M$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0.34164</cdr:x>
      <cdr:y>0.52778</cdr:y>
    </cdr:from>
    <cdr:to>
      <cdr:x>0.49377</cdr:x>
      <cdr:y>0.65278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2E38F8B-840C-3437-AF96-7FFF9ABC528A}"/>
            </a:ext>
          </a:extLst>
        </cdr:cNvPr>
        <cdr:cNvSpPr txBox="1"/>
      </cdr:nvSpPr>
      <cdr:spPr>
        <a:xfrm xmlns:a="http://schemas.openxmlformats.org/drawingml/2006/main">
          <a:off x="1654175" y="1447800"/>
          <a:ext cx="736600" cy="342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0.3482</cdr:x>
      <cdr:y>0.52315</cdr:y>
    </cdr:from>
    <cdr:to>
      <cdr:x>0.50295</cdr:x>
      <cdr:y>0.6412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4D4C9479-0324-B6DF-8BB3-BBDACB948982}"/>
            </a:ext>
          </a:extLst>
        </cdr:cNvPr>
        <cdr:cNvSpPr txBox="1"/>
      </cdr:nvSpPr>
      <cdr:spPr>
        <a:xfrm xmlns:a="http://schemas.openxmlformats.org/drawingml/2006/main">
          <a:off x="1685925" y="1435100"/>
          <a:ext cx="749300" cy="3238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0.03082</cdr:x>
      <cdr:y>0.19444</cdr:y>
    </cdr:from>
    <cdr:to>
      <cdr:x>0.18426</cdr:x>
      <cdr:y>0.40046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66C4A6C4-C2C3-906E-DE1D-7D2B0F14AB37}"/>
            </a:ext>
          </a:extLst>
        </cdr:cNvPr>
        <cdr:cNvSpPr txBox="1"/>
      </cdr:nvSpPr>
      <cdr:spPr>
        <a:xfrm xmlns:a="http://schemas.openxmlformats.org/drawingml/2006/main">
          <a:off x="149225" y="533400"/>
          <a:ext cx="742950" cy="5651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0.07148</cdr:x>
      <cdr:y>0.11111</cdr:y>
    </cdr:from>
    <cdr:to>
      <cdr:x>0.24852</cdr:x>
      <cdr:y>0.28935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61DC08F6-2A67-5EAB-7A07-D03321D25977}"/>
            </a:ext>
          </a:extLst>
        </cdr:cNvPr>
        <cdr:cNvSpPr txBox="1"/>
      </cdr:nvSpPr>
      <cdr:spPr>
        <a:xfrm xmlns:a="http://schemas.openxmlformats.org/drawingml/2006/main">
          <a:off x="346075" y="304800"/>
          <a:ext cx="857250" cy="488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0.35344</cdr:x>
      <cdr:y>0.51389</cdr:y>
    </cdr:from>
    <cdr:to>
      <cdr:x>0.54492</cdr:x>
      <cdr:y>0.70602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20E1BA29-921B-F557-0D2F-05F8569F5FDB}"/>
            </a:ext>
          </a:extLst>
        </cdr:cNvPr>
        <cdr:cNvSpPr txBox="1"/>
      </cdr:nvSpPr>
      <cdr:spPr>
        <a:xfrm xmlns:a="http://schemas.openxmlformats.org/drawingml/2006/main">
          <a:off x="1711325" y="1409700"/>
          <a:ext cx="927100" cy="5270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SG" sz="1100" b="1">
              <a:solidFill>
                <a:srgbClr val="00823B"/>
              </a:solidFill>
              <a:effectLst/>
              <a:latin typeface="+mn-lt"/>
              <a:ea typeface="+mn-ea"/>
              <a:cs typeface="+mn-cs"/>
            </a:rPr>
            <a:t>1.03 M$</a:t>
          </a:r>
          <a:endParaRPr lang="en-SG" b="1">
            <a:solidFill>
              <a:srgbClr val="00823B"/>
            </a:solidFill>
            <a:effectLst/>
          </a:endParaRPr>
        </a:p>
        <a:p xmlns:a="http://schemas.openxmlformats.org/drawingml/2006/main">
          <a:endParaRPr lang="en-SG" sz="1100" kern="1200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0.34164</cdr:x>
      <cdr:y>0.52778</cdr:y>
    </cdr:from>
    <cdr:to>
      <cdr:x>0.49377</cdr:x>
      <cdr:y>0.65278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2E38F8B-840C-3437-AF96-7FFF9ABC528A}"/>
            </a:ext>
          </a:extLst>
        </cdr:cNvPr>
        <cdr:cNvSpPr txBox="1"/>
      </cdr:nvSpPr>
      <cdr:spPr>
        <a:xfrm xmlns:a="http://schemas.openxmlformats.org/drawingml/2006/main">
          <a:off x="1654175" y="1447800"/>
          <a:ext cx="736600" cy="342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0.3482</cdr:x>
      <cdr:y>0.52315</cdr:y>
    </cdr:from>
    <cdr:to>
      <cdr:x>0.50295</cdr:x>
      <cdr:y>0.6412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4D4C9479-0324-B6DF-8BB3-BBDACB948982}"/>
            </a:ext>
          </a:extLst>
        </cdr:cNvPr>
        <cdr:cNvSpPr txBox="1"/>
      </cdr:nvSpPr>
      <cdr:spPr>
        <a:xfrm xmlns:a="http://schemas.openxmlformats.org/drawingml/2006/main">
          <a:off x="1685925" y="1435100"/>
          <a:ext cx="749300" cy="3238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0.03082</cdr:x>
      <cdr:y>0.19444</cdr:y>
    </cdr:from>
    <cdr:to>
      <cdr:x>0.18426</cdr:x>
      <cdr:y>0.40046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66C4A6C4-C2C3-906E-DE1D-7D2B0F14AB37}"/>
            </a:ext>
          </a:extLst>
        </cdr:cNvPr>
        <cdr:cNvSpPr txBox="1"/>
      </cdr:nvSpPr>
      <cdr:spPr>
        <a:xfrm xmlns:a="http://schemas.openxmlformats.org/drawingml/2006/main">
          <a:off x="149225" y="533400"/>
          <a:ext cx="742950" cy="5651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0.07148</cdr:x>
      <cdr:y>0.11111</cdr:y>
    </cdr:from>
    <cdr:to>
      <cdr:x>0.24852</cdr:x>
      <cdr:y>0.28935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61DC08F6-2A67-5EAB-7A07-D03321D25977}"/>
            </a:ext>
          </a:extLst>
        </cdr:cNvPr>
        <cdr:cNvSpPr txBox="1"/>
      </cdr:nvSpPr>
      <cdr:spPr>
        <a:xfrm xmlns:a="http://schemas.openxmlformats.org/drawingml/2006/main">
          <a:off x="346075" y="304800"/>
          <a:ext cx="857250" cy="488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0.35344</cdr:x>
      <cdr:y>0.51389</cdr:y>
    </cdr:from>
    <cdr:to>
      <cdr:x>0.54492</cdr:x>
      <cdr:y>0.70602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20E1BA29-921B-F557-0D2F-05F8569F5FDB}"/>
            </a:ext>
          </a:extLst>
        </cdr:cNvPr>
        <cdr:cNvSpPr txBox="1"/>
      </cdr:nvSpPr>
      <cdr:spPr>
        <a:xfrm xmlns:a="http://schemas.openxmlformats.org/drawingml/2006/main">
          <a:off x="1711325" y="1409700"/>
          <a:ext cx="927100" cy="5270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SG" sz="1100" b="1">
              <a:solidFill>
                <a:srgbClr val="00823B"/>
              </a:solidFill>
              <a:effectLst/>
              <a:latin typeface="+mn-lt"/>
              <a:ea typeface="+mn-ea"/>
              <a:cs typeface="+mn-cs"/>
            </a:rPr>
            <a:t>1.03 M$</a:t>
          </a:r>
          <a:endParaRPr lang="en-SG" b="1">
            <a:solidFill>
              <a:srgbClr val="00823B"/>
            </a:solidFill>
            <a:effectLst/>
          </a:endParaRPr>
        </a:p>
        <a:p xmlns:a="http://schemas.openxmlformats.org/drawingml/2006/main">
          <a:endParaRPr lang="en-SG" sz="1100" kern="1200"/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0.12212</cdr:x>
      <cdr:y>0.0795</cdr:y>
    </cdr:from>
    <cdr:to>
      <cdr:x>0.17707</cdr:x>
      <cdr:y>0.15803</cdr:y>
    </cdr:to>
    <cdr:pic>
      <cdr:nvPicPr>
        <cdr:cNvPr id="2" name="Graphic 11" descr="Crown with solid fill">
          <a:extLst xmlns:a="http://schemas.openxmlformats.org/drawingml/2006/main">
            <a:ext uri="{FF2B5EF4-FFF2-40B4-BE49-F238E27FC236}">
              <a16:creationId xmlns:a16="http://schemas.microsoft.com/office/drawing/2014/main" id="{4974C0A3-15A1-F1EC-E2D8-0C442CD80DA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571500" y="260350"/>
          <a:ext cx="257198" cy="257198"/>
        </a:xfrm>
        <a:prstGeom xmlns:a="http://schemas.openxmlformats.org/drawingml/2006/main" prst="rect">
          <a:avLst/>
        </a:prstGeom>
      </cdr:spPr>
    </cdr:pic>
  </cdr:relSizeAnchor>
</c:userShape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>
  <person displayName="Axel Faurax" id="{070FDAC7-D120-4608-81DC-07A9FB988201}" userId="S::axel.faurax@britoil.com.sg::1232e96e-c149-4e75-ba32-e7d47ac8dcbc" providerId="AD"/>
  <person displayName="Mohit Sabharwal" id="{AD57B11D-29D0-4A4E-B576-6E87DB65E71F}" userId="S::mohit.sabharwal@britoil.com.sg::8d78ad13-8bfd-4f04-b71d-b8573f8d7faf" providerId="AD"/>
</personList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  <v>Leaf with solid fill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07" dT="2024-08-21T02:52:10.83" personId="{AD57B11D-29D0-4A4E-B576-6E87DB65E71F}" id="{8E5F7F15-346C-49D5-99C0-81E4379D7D9A}">
    <text xml:space="preserve">B120/121 is not used for the purpose of DP 2 so it not required. Please check with Siva which of his vessels are not used as DP2 in Thailand exclude those as well for lighting deterrence </text>
  </threadedComment>
  <threadedComment ref="D107" dT="2024-08-21T02:52:45.23" personId="{AD57B11D-29D0-4A4E-B576-6E87DB65E71F}" id="{2D3B89BF-782A-4F64-A097-32541DB1CE4B}" parentId="{8E5F7F15-346C-49D5-99C0-81E4379D7D9A}">
    <text xml:space="preserve">Also removed failed as drop down menu 
</text>
  </threadedComment>
  <threadedComment ref="D107" dT="2024-08-21T03:35:03.35" personId="{070FDAC7-D120-4608-81DC-07A9FB988201}" id="{4D0DC0F6-16B6-47D0-BECA-69F0E5DFF231}" parentId="{8E5F7F15-346C-49D5-99C0-81E4379D7D9A}">
    <text xml:space="preserve">Ah yes you are right, i forgot his email. Thanks
</text>
  </threadedComment>
  <threadedComment ref="D107" dT="2024-08-21T03:48:06.10" personId="{070FDAC7-D120-4608-81DC-07A9FB988201}" id="{CA4574D6-5BEA-4B07-BFF7-AECA51D69121}" parentId="{8E5F7F15-346C-49D5-99C0-81E4379D7D9A}">
    <text xml:space="preserve">Ares / Athenna DP2 in Thailand  i Think
</text>
  </threadedComment>
  <threadedComment ref="D107" dT="2024-08-21T03:58:08.31" personId="{070FDAC7-D120-4608-81DC-07A9FB988201}" id="{C968A1F4-E5DC-4F70-9B24-2B5F6D934B81}" parentId="{8E5F7F15-346C-49D5-99C0-81E4379D7D9A}">
    <text xml:space="preserve">Okay for the 2 C class and 4 A class on Thailand i remove for lightning 
deterence  </text>
  </threadedComment>
  <threadedComment ref="D107" dT="2024-08-21T04:48:43.79" personId="{AD57B11D-29D0-4A4E-B576-6E87DB65E71F}" id="{0C9C5DDF-FC6B-4E30-B70F-526D6CD061F3}" parentId="{8E5F7F15-346C-49D5-99C0-81E4379D7D9A}">
    <text xml:space="preserve">ok 
</text>
  </threadedComment>
  <threadedComment ref="D107" dT="2024-08-21T04:53:53.73" personId="{AD57B11D-29D0-4A4E-B576-6E87DB65E71F}" id="{8ECA4A5C-67C0-404E-A2D8-948A5D99576A}" parentId="{8E5F7F15-346C-49D5-99C0-81E4379D7D9A}">
    <text xml:space="preserve">This sheet then can be send to Alessandro , Siva and Vinayak for them to take action. 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2.xml"/></Relationships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ebextensions/taskpanes.xml><?xml version="1.0" encoding="utf-8"?>
<wetp:taskpanes xmlns:wetp="http://schemas.microsoft.com/office/webextensions/taskpanes/2010/11">
  <wetp:taskpane dockstate="right" visibility="0" width="525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1F42FE5-C4F2-4F60-388E-1DDD5576F62A}">
  <we:reference id="wa104017332" version="1.0.0.0" store="en-US" storeType="OMEX"/>
  <we:alternateReferences>
    <we:reference id="wa104017332" version="1.0.0.0" store="wa104017332" storeType="OMEX"/>
  </we:alternateReferences>
  <we:properties/>
  <we:bindings/>
  <we:snapshot xmlns:r="http://schemas.openxmlformats.org/officeDocument/2006/relationships" r:embed="rId1"/>
</we:webextension>
</file>

<file path=xl/webextensions/webextension2.xml><?xml version="1.0" encoding="utf-8"?>
<we:webextension xmlns:we="http://schemas.microsoft.com/office/webextensions/webextension/2010/11" id="{BCF919B4-4F44-4E6D-837D-066812AA4416}">
  <we:reference id="wa104199815" version="1.0.0.1" store="en-US" storeType="OMEX"/>
  <we:alternateReferences>
    <we:reference id="wa104199815" version="1.0.0.1" store="wa104199815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cr.britoil60@ship.britoil.com.sg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89"/>
  <sheetViews>
    <sheetView tabSelected="1" topLeftCell="L67" zoomScale="70" zoomScaleNormal="70" workbookViewId="0">
      <selection activeCell="AC84" sqref="AC84"/>
    </sheetView>
  </sheetViews>
  <sheetFormatPr defaultColWidth="8.7265625" defaultRowHeight="20.149999999999999" customHeight="1" outlineLevelRow="1" x14ac:dyDescent="0.35"/>
  <cols>
    <col min="1" max="1" width="8.7265625" style="8"/>
    <col min="2" max="2" width="13.7265625" style="1" customWidth="1"/>
    <col min="3" max="3" width="25.81640625" style="1" customWidth="1"/>
    <col min="4" max="4" width="16.1796875" style="1" customWidth="1"/>
    <col min="5" max="5" width="32" style="1" customWidth="1"/>
    <col min="6" max="6" width="22.7265625" style="1" customWidth="1"/>
    <col min="7" max="7" width="22" style="12" customWidth="1"/>
    <col min="8" max="9" width="30.36328125" style="1" customWidth="1"/>
    <col min="10" max="10" width="24.81640625" style="54" customWidth="1"/>
    <col min="11" max="11" width="42.54296875" style="10" customWidth="1"/>
    <col min="12" max="12" width="58.1796875" style="8" customWidth="1"/>
    <col min="13" max="20" width="8.7265625" style="8"/>
    <col min="21" max="21" width="20.7265625" style="8" customWidth="1"/>
    <col min="22" max="22" width="10.81640625" style="8" customWidth="1"/>
    <col min="23" max="23" width="21.81640625" style="8" customWidth="1"/>
    <col min="24" max="24" width="8.7265625" style="8"/>
    <col min="25" max="25" width="11.453125" style="8" customWidth="1"/>
    <col min="26" max="27" width="8.7265625" style="8"/>
    <col min="28" max="28" width="25.6328125" style="8" customWidth="1"/>
    <col min="29" max="29" width="29" style="8" customWidth="1"/>
    <col min="30" max="30" width="36.453125" style="8" customWidth="1"/>
    <col min="31" max="31" width="27.54296875" style="8" customWidth="1"/>
    <col min="32" max="32" width="23.453125" style="8" customWidth="1"/>
    <col min="33" max="16384" width="8.7265625" style="8"/>
  </cols>
  <sheetData>
    <row r="1" spans="1:32" ht="20.149999999999999" customHeight="1" thickBot="1" x14ac:dyDescent="0.4">
      <c r="B1" s="8"/>
      <c r="C1" s="8"/>
      <c r="D1" s="8"/>
      <c r="E1" s="8"/>
      <c r="F1" s="8"/>
      <c r="G1" s="11"/>
      <c r="H1" s="8"/>
      <c r="I1" s="8"/>
      <c r="J1" s="49"/>
      <c r="K1" s="9"/>
    </row>
    <row r="2" spans="1:32" ht="33.5" customHeight="1" x14ac:dyDescent="0.35">
      <c r="B2" s="132" t="s">
        <v>0</v>
      </c>
      <c r="C2" s="133"/>
      <c r="D2" s="134"/>
      <c r="E2" s="144" t="s">
        <v>137</v>
      </c>
      <c r="F2" s="145"/>
      <c r="G2" s="145"/>
      <c r="H2" s="146"/>
      <c r="I2" s="48"/>
      <c r="J2" s="50"/>
      <c r="K2" s="130" t="s">
        <v>1</v>
      </c>
      <c r="N2" s="8" t="s">
        <v>122</v>
      </c>
      <c r="O2" s="8" t="s">
        <v>123</v>
      </c>
      <c r="Q2" s="8">
        <f>2000*0.01</f>
        <v>20</v>
      </c>
      <c r="T2" s="159" t="s">
        <v>2</v>
      </c>
      <c r="U2" s="162" t="s">
        <v>3</v>
      </c>
      <c r="V2" s="162"/>
      <c r="W2" s="163"/>
      <c r="AB2" s="102" t="s">
        <v>148</v>
      </c>
      <c r="AC2" s="103" t="s">
        <v>119</v>
      </c>
      <c r="AD2" s="30" t="s">
        <v>149</v>
      </c>
      <c r="AE2" s="104" t="s">
        <v>118</v>
      </c>
      <c r="AF2" s="8" t="s">
        <v>159</v>
      </c>
    </row>
    <row r="3" spans="1:32" ht="20.149999999999999" customHeight="1" x14ac:dyDescent="0.35">
      <c r="B3" s="135"/>
      <c r="C3" s="136"/>
      <c r="D3" s="137"/>
      <c r="E3" s="147"/>
      <c r="F3" s="148"/>
      <c r="G3" s="148"/>
      <c r="H3" s="149"/>
      <c r="I3" s="48"/>
      <c r="J3" s="50"/>
      <c r="K3" s="131"/>
      <c r="N3" s="8" t="s">
        <v>121</v>
      </c>
      <c r="O3" s="8">
        <v>3.2</v>
      </c>
      <c r="Q3" s="8">
        <f>O3*Q2</f>
        <v>64</v>
      </c>
      <c r="T3" s="160"/>
      <c r="U3" s="131"/>
      <c r="V3" s="131"/>
      <c r="W3" s="164"/>
      <c r="AB3" s="105" t="s">
        <v>13</v>
      </c>
      <c r="AC3" s="8">
        <v>12000</v>
      </c>
      <c r="AD3" s="8">
        <v>3200</v>
      </c>
      <c r="AE3" s="99">
        <v>64</v>
      </c>
      <c r="AF3" s="8">
        <v>1</v>
      </c>
    </row>
    <row r="4" spans="1:32" ht="20.149999999999999" customHeight="1" x14ac:dyDescent="0.35">
      <c r="B4" s="142" t="s">
        <v>2</v>
      </c>
      <c r="C4" s="138" t="s">
        <v>136</v>
      </c>
      <c r="D4" s="139"/>
      <c r="E4" s="150" t="s">
        <v>138</v>
      </c>
      <c r="F4" s="152" t="s">
        <v>117</v>
      </c>
      <c r="G4" s="152"/>
      <c r="H4" s="154" t="s">
        <v>139</v>
      </c>
      <c r="I4" s="47"/>
      <c r="J4" s="51"/>
      <c r="K4" s="131"/>
      <c r="N4" s="8" t="s">
        <v>124</v>
      </c>
      <c r="O4" s="8">
        <v>600</v>
      </c>
      <c r="P4" s="8" t="s">
        <v>125</v>
      </c>
      <c r="R4" s="8">
        <f>8000/25</f>
        <v>320</v>
      </c>
      <c r="T4" s="160"/>
      <c r="U4" s="131"/>
      <c r="V4" s="131"/>
      <c r="W4" s="164"/>
      <c r="AB4" s="105" t="s">
        <v>96</v>
      </c>
      <c r="AC4" s="8">
        <v>0</v>
      </c>
      <c r="AD4" s="8">
        <v>3200</v>
      </c>
      <c r="AE4" s="99">
        <v>50</v>
      </c>
      <c r="AF4" s="8">
        <v>1</v>
      </c>
    </row>
    <row r="5" spans="1:32" ht="20.149999999999999" customHeight="1" x14ac:dyDescent="0.35">
      <c r="B5" s="142"/>
      <c r="C5" s="138"/>
      <c r="D5" s="139"/>
      <c r="E5" s="150"/>
      <c r="F5" s="152"/>
      <c r="G5" s="152"/>
      <c r="H5" s="154"/>
      <c r="I5" s="47"/>
      <c r="J5" s="51"/>
      <c r="K5" s="131"/>
      <c r="T5" s="160"/>
      <c r="U5" s="131"/>
      <c r="V5" s="131"/>
      <c r="W5" s="164"/>
      <c r="AB5" s="105" t="s">
        <v>114</v>
      </c>
      <c r="AC5" s="8">
        <v>0</v>
      </c>
      <c r="AD5" s="8">
        <v>100</v>
      </c>
      <c r="AE5" s="99">
        <v>0</v>
      </c>
      <c r="AF5" s="8">
        <v>1</v>
      </c>
    </row>
    <row r="6" spans="1:32" ht="51" customHeight="1" thickBot="1" x14ac:dyDescent="0.4">
      <c r="B6" s="143"/>
      <c r="C6" s="140"/>
      <c r="D6" s="141"/>
      <c r="E6" s="151"/>
      <c r="F6" s="153"/>
      <c r="G6" s="153"/>
      <c r="H6" s="155"/>
      <c r="I6" s="47"/>
      <c r="J6" s="51"/>
      <c r="K6" s="131"/>
      <c r="T6" s="161"/>
      <c r="U6" s="165"/>
      <c r="V6" s="165"/>
      <c r="W6" s="166"/>
      <c r="AB6" s="105" t="s">
        <v>14</v>
      </c>
      <c r="AC6" s="8">
        <v>2500</v>
      </c>
      <c r="AD6" s="8">
        <v>3200</v>
      </c>
      <c r="AE6" s="99">
        <v>11</v>
      </c>
      <c r="AF6" s="8">
        <v>1</v>
      </c>
    </row>
    <row r="7" spans="1:32" ht="20.149999999999999" customHeight="1" thickBot="1" x14ac:dyDescent="0.4">
      <c r="B7" s="16"/>
      <c r="C7" s="16"/>
      <c r="D7" s="16"/>
      <c r="E7" s="16"/>
      <c r="F7" s="16"/>
      <c r="G7" s="17"/>
      <c r="H7" s="16"/>
      <c r="I7" s="16"/>
      <c r="J7" s="52"/>
      <c r="K7" s="18"/>
      <c r="AB7" s="105" t="s">
        <v>110</v>
      </c>
      <c r="AC7" s="8">
        <v>8300</v>
      </c>
      <c r="AD7" s="8">
        <v>1000</v>
      </c>
      <c r="AE7" s="99">
        <v>45</v>
      </c>
      <c r="AF7" s="8">
        <v>1</v>
      </c>
    </row>
    <row r="8" spans="1:32" s="13" customFormat="1" ht="43.5" customHeight="1" x14ac:dyDescent="0.35">
      <c r="B8" s="14" t="s">
        <v>4</v>
      </c>
      <c r="C8" s="14" t="s">
        <v>5</v>
      </c>
      <c r="D8" s="14" t="s">
        <v>6</v>
      </c>
      <c r="E8" s="15" t="s">
        <v>108</v>
      </c>
      <c r="F8" s="14" t="s">
        <v>7</v>
      </c>
      <c r="G8" s="33" t="s">
        <v>8</v>
      </c>
      <c r="H8" s="40" t="s">
        <v>119</v>
      </c>
      <c r="I8" s="15" t="s">
        <v>120</v>
      </c>
      <c r="J8" s="53" t="s">
        <v>118</v>
      </c>
      <c r="K8" s="15" t="s">
        <v>9</v>
      </c>
      <c r="L8" s="30" t="s">
        <v>10</v>
      </c>
      <c r="U8" s="190" t="s">
        <v>130</v>
      </c>
      <c r="V8" s="187" t="s">
        <v>144</v>
      </c>
      <c r="W8" s="187" t="s">
        <v>261</v>
      </c>
      <c r="X8" s="187"/>
      <c r="Y8" s="188" t="s">
        <v>260</v>
      </c>
      <c r="Z8" s="189"/>
      <c r="AB8" s="106" t="s">
        <v>113</v>
      </c>
      <c r="AC8" s="13">
        <v>16000</v>
      </c>
      <c r="AD8" s="13">
        <v>100</v>
      </c>
      <c r="AE8" s="100">
        <v>85</v>
      </c>
      <c r="AF8" s="13">
        <v>1</v>
      </c>
    </row>
    <row r="9" spans="1:32" ht="30" customHeight="1" x14ac:dyDescent="0.35">
      <c r="A9" s="8" t="s">
        <v>140</v>
      </c>
      <c r="B9" s="124">
        <v>1</v>
      </c>
      <c r="C9" s="124" t="s">
        <v>11</v>
      </c>
      <c r="D9" s="124" t="s">
        <v>12</v>
      </c>
      <c r="E9" s="26" t="s">
        <v>106</v>
      </c>
      <c r="F9" s="31"/>
      <c r="G9" s="34"/>
      <c r="H9" s="55" t="str">
        <f>IF(F9="Done", V9*VLOOKUP(E9, $AB$3:$AC$11, 2, FALSE), "")</f>
        <v/>
      </c>
      <c r="I9" s="55" t="str">
        <f>IF(F9="Done", V9*VLOOKUP(E9, $AB$3:$AD$11, 3, FALSE), "")</f>
        <v/>
      </c>
      <c r="J9" s="56" t="str">
        <f>IF(F9="Done", V9*VLOOKUP(E9, $AB$3:$AE$11, 4, FALSE), "")</f>
        <v/>
      </c>
      <c r="K9" s="2"/>
      <c r="L9" s="41"/>
      <c r="U9" s="179" t="str">
        <f>C9</f>
        <v>Britoil 21</v>
      </c>
      <c r="V9" s="180">
        <f>MIN(Y9/21388,1.3)</f>
        <v>0.51430708808677761</v>
      </c>
      <c r="W9" s="180">
        <f>VLOOKUP(U9, $AB$30:$AH$94, 7, FALSE)</f>
        <v>11000</v>
      </c>
      <c r="X9" s="180"/>
      <c r="Y9" s="180">
        <f>INT(VLOOKUP(U9, $AB$30:$AH$96, 7, FALSE))</f>
        <v>11000</v>
      </c>
      <c r="Z9" s="181"/>
      <c r="AB9" s="106" t="s">
        <v>152</v>
      </c>
      <c r="AC9" s="8">
        <v>8000</v>
      </c>
      <c r="AD9" s="8">
        <v>100</v>
      </c>
      <c r="AE9" s="100">
        <v>40</v>
      </c>
      <c r="AF9" s="8">
        <v>1</v>
      </c>
    </row>
    <row r="10" spans="1:32" ht="25" customHeight="1" outlineLevel="1" x14ac:dyDescent="0.35">
      <c r="B10" s="125"/>
      <c r="C10" s="125"/>
      <c r="D10" s="125"/>
      <c r="E10" s="3" t="s">
        <v>110</v>
      </c>
      <c r="F10" s="31" t="s">
        <v>21</v>
      </c>
      <c r="G10" s="35"/>
      <c r="H10" s="57" t="str">
        <f t="shared" ref="H10:H23" si="0">IF(F10="Done", V10*VLOOKUP(E10, $AB$3:$AC$11, 2, FALSE), "")</f>
        <v/>
      </c>
      <c r="I10" s="57" t="str">
        <f t="shared" ref="I10:I23" si="1">IF(F10="Done", V10*VLOOKUP(E10, $AB$3:$AD$11, 3, FALSE), "")</f>
        <v/>
      </c>
      <c r="J10" s="58" t="str">
        <f t="shared" ref="J10:J23" si="2">IF(F10="Done", V10*VLOOKUP(E10, $AB$3:$AE$11, 4, FALSE), "")</f>
        <v/>
      </c>
      <c r="K10" s="3"/>
      <c r="L10" s="42"/>
      <c r="U10" s="179" t="s">
        <v>11</v>
      </c>
      <c r="V10" s="180">
        <f t="shared" ref="V10:V73" si="3">MIN(Y10/21388,1.3)</f>
        <v>0.51430708808677761</v>
      </c>
      <c r="W10" s="180">
        <v>11000</v>
      </c>
      <c r="X10" s="180"/>
      <c r="Y10" s="180">
        <f t="shared" ref="Y10:Y73" si="4">INT(VLOOKUP(U10, $AB$30:$AH$96, 7, FALSE))</f>
        <v>11000</v>
      </c>
      <c r="Z10" s="181"/>
      <c r="AB10" s="105" t="s">
        <v>107</v>
      </c>
      <c r="AC10" s="8">
        <v>0</v>
      </c>
      <c r="AD10" s="8">
        <v>5000</v>
      </c>
      <c r="AE10" s="99">
        <v>0</v>
      </c>
      <c r="AF10" s="8">
        <v>1</v>
      </c>
    </row>
    <row r="11" spans="1:32" ht="25" customHeight="1" outlineLevel="1" x14ac:dyDescent="0.35">
      <c r="B11" s="125"/>
      <c r="C11" s="125"/>
      <c r="D11" s="125"/>
      <c r="E11" s="3" t="s">
        <v>113</v>
      </c>
      <c r="F11" s="31" t="s">
        <v>21</v>
      </c>
      <c r="G11" s="35"/>
      <c r="H11" s="57" t="str">
        <f t="shared" si="0"/>
        <v/>
      </c>
      <c r="I11" s="57" t="str">
        <f t="shared" si="1"/>
        <v/>
      </c>
      <c r="J11" s="58" t="str">
        <f t="shared" si="2"/>
        <v/>
      </c>
      <c r="K11" s="3"/>
      <c r="L11" s="42"/>
      <c r="U11" s="179" t="s">
        <v>11</v>
      </c>
      <c r="V11" s="180">
        <f t="shared" si="3"/>
        <v>0.51430708808677761</v>
      </c>
      <c r="W11" s="180">
        <v>11000</v>
      </c>
      <c r="X11" s="180"/>
      <c r="Y11" s="180">
        <f t="shared" si="4"/>
        <v>11000</v>
      </c>
      <c r="Z11" s="181"/>
      <c r="AB11" s="107" t="s">
        <v>135</v>
      </c>
      <c r="AC11" s="16">
        <v>0</v>
      </c>
      <c r="AD11" s="16">
        <v>2000</v>
      </c>
      <c r="AE11" s="101">
        <v>0</v>
      </c>
      <c r="AF11" s="8">
        <v>1</v>
      </c>
    </row>
    <row r="12" spans="1:32" ht="25" customHeight="1" outlineLevel="1" x14ac:dyDescent="0.35">
      <c r="B12" s="125"/>
      <c r="C12" s="125"/>
      <c r="D12" s="125"/>
      <c r="E12" s="3" t="s">
        <v>13</v>
      </c>
      <c r="F12" s="31" t="s">
        <v>32</v>
      </c>
      <c r="G12" s="35"/>
      <c r="H12" s="57" t="str">
        <f t="shared" si="0"/>
        <v/>
      </c>
      <c r="I12" s="57" t="str">
        <f t="shared" si="1"/>
        <v/>
      </c>
      <c r="J12" s="58" t="str">
        <f t="shared" si="2"/>
        <v/>
      </c>
      <c r="K12" s="3"/>
      <c r="L12" s="42"/>
      <c r="U12" s="179" t="s">
        <v>11</v>
      </c>
      <c r="V12" s="180">
        <f t="shared" si="3"/>
        <v>0.51430708808677761</v>
      </c>
      <c r="W12" s="180">
        <v>11000</v>
      </c>
      <c r="X12" s="180"/>
      <c r="Y12" s="180">
        <f t="shared" si="4"/>
        <v>11000</v>
      </c>
      <c r="Z12" s="181"/>
    </row>
    <row r="13" spans="1:32" ht="25" customHeight="1" outlineLevel="1" x14ac:dyDescent="0.35">
      <c r="B13" s="126"/>
      <c r="C13" s="126"/>
      <c r="D13" s="126"/>
      <c r="E13" s="3" t="s">
        <v>14</v>
      </c>
      <c r="F13" s="31" t="s">
        <v>109</v>
      </c>
      <c r="G13" s="35"/>
      <c r="H13" s="57" t="str">
        <f t="shared" si="0"/>
        <v/>
      </c>
      <c r="I13" s="57" t="str">
        <f t="shared" si="1"/>
        <v/>
      </c>
      <c r="J13" s="58" t="str">
        <f t="shared" si="2"/>
        <v/>
      </c>
      <c r="K13" s="3"/>
      <c r="L13" s="43"/>
      <c r="U13" s="179" t="s">
        <v>11</v>
      </c>
      <c r="V13" s="180">
        <f t="shared" si="3"/>
        <v>0.51430708808677761</v>
      </c>
      <c r="W13" s="180">
        <v>11000</v>
      </c>
      <c r="X13" s="180"/>
      <c r="Y13" s="180">
        <f t="shared" si="4"/>
        <v>11000</v>
      </c>
      <c r="Z13" s="181"/>
    </row>
    <row r="14" spans="1:32" ht="30" customHeight="1" x14ac:dyDescent="0.35">
      <c r="A14" s="8" t="s">
        <v>140</v>
      </c>
      <c r="B14" s="121">
        <v>2</v>
      </c>
      <c r="C14" s="121" t="s">
        <v>15</v>
      </c>
      <c r="D14" s="121" t="s">
        <v>12</v>
      </c>
      <c r="E14" s="27" t="s">
        <v>106</v>
      </c>
      <c r="F14" s="32"/>
      <c r="G14" s="36"/>
      <c r="H14" s="59" t="str">
        <f t="shared" si="0"/>
        <v/>
      </c>
      <c r="I14" s="59" t="str">
        <f t="shared" si="1"/>
        <v/>
      </c>
      <c r="J14" s="60" t="str">
        <f t="shared" si="2"/>
        <v/>
      </c>
      <c r="K14" s="121" t="s">
        <v>181</v>
      </c>
      <c r="L14" s="44"/>
      <c r="U14" s="179" t="str">
        <f t="shared" ref="U14:U29" si="5">C14</f>
        <v>Britoil 22</v>
      </c>
      <c r="V14" s="180">
        <f t="shared" si="3"/>
        <v>0.51430708808677761</v>
      </c>
      <c r="W14" s="180">
        <v>11000</v>
      </c>
      <c r="X14" s="180"/>
      <c r="Y14" s="180">
        <f t="shared" si="4"/>
        <v>11000</v>
      </c>
      <c r="Z14" s="181"/>
      <c r="AB14" s="102" t="s">
        <v>148</v>
      </c>
      <c r="AC14" s="103" t="s">
        <v>119</v>
      </c>
      <c r="AD14" s="30" t="s">
        <v>149</v>
      </c>
      <c r="AE14" s="104" t="s">
        <v>118</v>
      </c>
    </row>
    <row r="15" spans="1:32" ht="25" customHeight="1" outlineLevel="1" x14ac:dyDescent="0.35">
      <c r="B15" s="122"/>
      <c r="C15" s="122"/>
      <c r="D15" s="122"/>
      <c r="E15" s="6" t="s">
        <v>110</v>
      </c>
      <c r="F15" s="32" t="s">
        <v>21</v>
      </c>
      <c r="G15" s="37"/>
      <c r="H15" s="61" t="str">
        <f t="shared" si="0"/>
        <v/>
      </c>
      <c r="I15" s="61" t="str">
        <f t="shared" si="1"/>
        <v/>
      </c>
      <c r="J15" s="62" t="str">
        <f t="shared" si="2"/>
        <v/>
      </c>
      <c r="K15" s="122"/>
      <c r="L15" s="45"/>
      <c r="U15" s="179" t="s">
        <v>15</v>
      </c>
      <c r="V15" s="180">
        <f t="shared" si="3"/>
        <v>0.51430708808677761</v>
      </c>
      <c r="W15" s="180">
        <v>11000</v>
      </c>
      <c r="X15" s="180"/>
      <c r="Y15" s="180">
        <f t="shared" si="4"/>
        <v>11000</v>
      </c>
      <c r="Z15" s="181"/>
      <c r="AB15" s="105" t="s">
        <v>13</v>
      </c>
      <c r="AC15" s="8">
        <v>12000</v>
      </c>
      <c r="AD15" s="8">
        <v>3200</v>
      </c>
      <c r="AE15" s="99">
        <v>64</v>
      </c>
      <c r="AF15" s="8" t="s">
        <v>160</v>
      </c>
    </row>
    <row r="16" spans="1:32" ht="25" customHeight="1" outlineLevel="1" x14ac:dyDescent="0.35">
      <c r="B16" s="122"/>
      <c r="C16" s="122"/>
      <c r="D16" s="122"/>
      <c r="E16" s="6" t="s">
        <v>113</v>
      </c>
      <c r="F16" s="32" t="s">
        <v>21</v>
      </c>
      <c r="G16" s="37"/>
      <c r="H16" s="61" t="str">
        <f t="shared" si="0"/>
        <v/>
      </c>
      <c r="I16" s="61" t="str">
        <f t="shared" si="1"/>
        <v/>
      </c>
      <c r="J16" s="62" t="str">
        <f t="shared" si="2"/>
        <v/>
      </c>
      <c r="K16" s="122"/>
      <c r="L16" s="45"/>
      <c r="U16" s="179" t="s">
        <v>15</v>
      </c>
      <c r="V16" s="180">
        <f t="shared" si="3"/>
        <v>0.51430708808677761</v>
      </c>
      <c r="W16" s="180">
        <v>11000</v>
      </c>
      <c r="X16" s="180"/>
      <c r="Y16" s="180">
        <f t="shared" si="4"/>
        <v>11000</v>
      </c>
      <c r="Z16" s="181"/>
      <c r="AB16" s="105" t="s">
        <v>96</v>
      </c>
      <c r="AC16" s="8">
        <v>0</v>
      </c>
      <c r="AD16" s="8">
        <v>3200</v>
      </c>
      <c r="AE16" s="99">
        <v>50</v>
      </c>
      <c r="AF16" s="8" t="s">
        <v>161</v>
      </c>
    </row>
    <row r="17" spans="1:34" ht="25" customHeight="1" outlineLevel="1" x14ac:dyDescent="0.35">
      <c r="B17" s="122"/>
      <c r="C17" s="122"/>
      <c r="D17" s="122"/>
      <c r="E17" s="6" t="s">
        <v>13</v>
      </c>
      <c r="F17" s="32" t="s">
        <v>17</v>
      </c>
      <c r="G17" s="37" t="s">
        <v>180</v>
      </c>
      <c r="H17" s="61">
        <f t="shared" si="0"/>
        <v>6171.6850570413317</v>
      </c>
      <c r="I17" s="61">
        <f>IF(F17="Done", V17*VLOOKUP(E17, $AB$3:$AD$11, 3, FALSE), "")</f>
        <v>1645.7826818776884</v>
      </c>
      <c r="J17" s="62">
        <f t="shared" si="2"/>
        <v>32.915653637553767</v>
      </c>
      <c r="K17" s="122"/>
      <c r="L17" s="45"/>
      <c r="U17" s="179" t="s">
        <v>15</v>
      </c>
      <c r="V17" s="180">
        <f t="shared" si="3"/>
        <v>0.51430708808677761</v>
      </c>
      <c r="W17" s="180">
        <v>11000</v>
      </c>
      <c r="X17" s="180"/>
      <c r="Y17" s="180">
        <f t="shared" si="4"/>
        <v>11000</v>
      </c>
      <c r="Z17" s="181"/>
      <c r="AB17" s="105" t="s">
        <v>114</v>
      </c>
      <c r="AC17" s="8">
        <v>0</v>
      </c>
      <c r="AD17" s="8">
        <v>100</v>
      </c>
      <c r="AE17" s="99">
        <v>0</v>
      </c>
      <c r="AF17" s="8" t="s">
        <v>157</v>
      </c>
    </row>
    <row r="18" spans="1:34" ht="25" customHeight="1" outlineLevel="1" x14ac:dyDescent="0.35">
      <c r="B18" s="123"/>
      <c r="C18" s="123"/>
      <c r="D18" s="123"/>
      <c r="E18" s="6" t="s">
        <v>14</v>
      </c>
      <c r="F18" s="32" t="s">
        <v>109</v>
      </c>
      <c r="G18" s="38"/>
      <c r="H18" s="63" t="str">
        <f t="shared" si="0"/>
        <v/>
      </c>
      <c r="I18" s="63" t="str">
        <f t="shared" si="1"/>
        <v/>
      </c>
      <c r="J18" s="64" t="str">
        <f t="shared" si="2"/>
        <v/>
      </c>
      <c r="K18" s="123"/>
      <c r="L18" s="46"/>
      <c r="U18" s="179" t="s">
        <v>15</v>
      </c>
      <c r="V18" s="180">
        <f t="shared" si="3"/>
        <v>0.51430708808677761</v>
      </c>
      <c r="W18" s="180">
        <v>11000</v>
      </c>
      <c r="X18" s="180"/>
      <c r="Y18" s="180">
        <f t="shared" si="4"/>
        <v>11000</v>
      </c>
      <c r="Z18" s="181"/>
      <c r="AB18" s="105" t="s">
        <v>14</v>
      </c>
      <c r="AC18" s="8">
        <v>2500</v>
      </c>
      <c r="AD18" s="8">
        <v>3200</v>
      </c>
      <c r="AE18" s="99">
        <v>11</v>
      </c>
      <c r="AF18" s="8" t="s">
        <v>37</v>
      </c>
    </row>
    <row r="19" spans="1:34" ht="30" customHeight="1" x14ac:dyDescent="0.35">
      <c r="A19" s="8" t="s">
        <v>140</v>
      </c>
      <c r="B19" s="124">
        <v>3</v>
      </c>
      <c r="C19" s="124" t="s">
        <v>16</v>
      </c>
      <c r="D19" s="124" t="s">
        <v>12</v>
      </c>
      <c r="E19" s="26" t="s">
        <v>106</v>
      </c>
      <c r="F19" s="31"/>
      <c r="G19" s="35"/>
      <c r="H19" s="57" t="str">
        <f t="shared" si="0"/>
        <v/>
      </c>
      <c r="I19" s="57" t="str">
        <f t="shared" si="1"/>
        <v/>
      </c>
      <c r="J19" s="58" t="str">
        <f t="shared" si="2"/>
        <v/>
      </c>
      <c r="K19" s="3"/>
      <c r="L19" s="41"/>
      <c r="U19" s="179" t="str">
        <f t="shared" si="5"/>
        <v>Britoil 41</v>
      </c>
      <c r="V19" s="180">
        <f t="shared" si="3"/>
        <v>1.3</v>
      </c>
      <c r="W19" s="180">
        <v>42000</v>
      </c>
      <c r="X19" s="180" t="s">
        <v>166</v>
      </c>
      <c r="Y19" s="180">
        <f t="shared" si="4"/>
        <v>33611</v>
      </c>
      <c r="Z19" s="181"/>
      <c r="AB19" s="105" t="s">
        <v>110</v>
      </c>
      <c r="AC19" s="8">
        <v>8300</v>
      </c>
      <c r="AD19" s="8">
        <v>1000</v>
      </c>
      <c r="AE19" s="99">
        <v>45</v>
      </c>
      <c r="AF19" s="8" t="s">
        <v>158</v>
      </c>
    </row>
    <row r="20" spans="1:34" ht="25" customHeight="1" outlineLevel="1" x14ac:dyDescent="0.35">
      <c r="B20" s="125"/>
      <c r="C20" s="125"/>
      <c r="D20" s="125"/>
      <c r="E20" s="3" t="s">
        <v>13</v>
      </c>
      <c r="F20" s="31" t="s">
        <v>17</v>
      </c>
      <c r="G20" s="35"/>
      <c r="H20" s="57">
        <f t="shared" si="0"/>
        <v>15600</v>
      </c>
      <c r="I20" s="57">
        <f t="shared" si="1"/>
        <v>4160</v>
      </c>
      <c r="J20" s="58">
        <f t="shared" si="2"/>
        <v>83.2</v>
      </c>
      <c r="K20" s="3"/>
      <c r="L20" s="42"/>
      <c r="U20" s="179" t="s">
        <v>16</v>
      </c>
      <c r="V20" s="180">
        <f t="shared" si="3"/>
        <v>1.3</v>
      </c>
      <c r="W20" s="180">
        <v>42000</v>
      </c>
      <c r="X20" s="180"/>
      <c r="Y20" s="180">
        <f t="shared" si="4"/>
        <v>33611</v>
      </c>
      <c r="Z20" s="181"/>
      <c r="AB20" s="106" t="s">
        <v>113</v>
      </c>
      <c r="AC20" s="13">
        <v>16000</v>
      </c>
      <c r="AD20" s="13">
        <v>100</v>
      </c>
      <c r="AE20" s="100">
        <v>85</v>
      </c>
      <c r="AF20" s="13" t="s">
        <v>150</v>
      </c>
    </row>
    <row r="21" spans="1:34" ht="25" customHeight="1" outlineLevel="1" x14ac:dyDescent="0.35">
      <c r="B21" s="125"/>
      <c r="C21" s="125"/>
      <c r="D21" s="125"/>
      <c r="E21" s="3" t="s">
        <v>113</v>
      </c>
      <c r="F21" s="31" t="s">
        <v>21</v>
      </c>
      <c r="G21" s="35"/>
      <c r="H21" s="57" t="str">
        <f t="shared" si="0"/>
        <v/>
      </c>
      <c r="I21" s="57" t="str">
        <f t="shared" si="1"/>
        <v/>
      </c>
      <c r="J21" s="58" t="str">
        <f t="shared" si="2"/>
        <v/>
      </c>
      <c r="K21" s="3"/>
      <c r="L21" s="42"/>
      <c r="U21" s="179" t="s">
        <v>16</v>
      </c>
      <c r="V21" s="180">
        <f t="shared" si="3"/>
        <v>1.3</v>
      </c>
      <c r="W21" s="180">
        <v>42000</v>
      </c>
      <c r="X21" s="180"/>
      <c r="Y21" s="180">
        <f t="shared" si="4"/>
        <v>33611</v>
      </c>
      <c r="Z21" s="181"/>
      <c r="AB21" s="106" t="s">
        <v>152</v>
      </c>
      <c r="AC21" s="8">
        <v>8000</v>
      </c>
      <c r="AD21" s="8">
        <v>100</v>
      </c>
      <c r="AE21" s="100">
        <v>40</v>
      </c>
    </row>
    <row r="22" spans="1:34" ht="25" customHeight="1" outlineLevel="1" x14ac:dyDescent="0.35">
      <c r="B22" s="125"/>
      <c r="C22" s="125"/>
      <c r="D22" s="125"/>
      <c r="E22" s="3" t="s">
        <v>110</v>
      </c>
      <c r="F22" s="31" t="s">
        <v>17</v>
      </c>
      <c r="G22" s="35"/>
      <c r="H22" s="57">
        <f t="shared" si="0"/>
        <v>10790</v>
      </c>
      <c r="I22" s="57">
        <f t="shared" si="1"/>
        <v>1300</v>
      </c>
      <c r="J22" s="58">
        <f t="shared" si="2"/>
        <v>58.5</v>
      </c>
      <c r="K22" s="3"/>
      <c r="L22" s="42"/>
      <c r="U22" s="179" t="s">
        <v>16</v>
      </c>
      <c r="V22" s="180">
        <f t="shared" si="3"/>
        <v>1.3</v>
      </c>
      <c r="W22" s="180">
        <v>42000</v>
      </c>
      <c r="X22" s="180"/>
      <c r="Y22" s="180">
        <f t="shared" si="4"/>
        <v>33611</v>
      </c>
      <c r="Z22" s="181"/>
      <c r="AB22" s="105" t="s">
        <v>107</v>
      </c>
      <c r="AC22" s="8">
        <v>0</v>
      </c>
      <c r="AD22" s="8">
        <v>5000</v>
      </c>
      <c r="AE22" s="99">
        <v>0</v>
      </c>
      <c r="AF22" s="8" t="s">
        <v>157</v>
      </c>
    </row>
    <row r="23" spans="1:34" ht="25" customHeight="1" outlineLevel="1" x14ac:dyDescent="0.35">
      <c r="B23" s="126"/>
      <c r="C23" s="126"/>
      <c r="D23" s="126"/>
      <c r="E23" s="3" t="s">
        <v>14</v>
      </c>
      <c r="F23" s="31" t="s">
        <v>17</v>
      </c>
      <c r="G23" s="35"/>
      <c r="H23" s="57">
        <f t="shared" si="0"/>
        <v>3250</v>
      </c>
      <c r="I23" s="57">
        <f t="shared" si="1"/>
        <v>4160</v>
      </c>
      <c r="J23" s="58">
        <f t="shared" si="2"/>
        <v>14.3</v>
      </c>
      <c r="K23" s="3"/>
      <c r="L23" s="43"/>
      <c r="U23" s="179" t="s">
        <v>16</v>
      </c>
      <c r="V23" s="180">
        <f t="shared" si="3"/>
        <v>1.3</v>
      </c>
      <c r="W23" s="180">
        <v>42000</v>
      </c>
      <c r="X23" s="180"/>
      <c r="Y23" s="180">
        <f t="shared" si="4"/>
        <v>33611</v>
      </c>
      <c r="Z23" s="181"/>
      <c r="AB23" s="107" t="s">
        <v>135</v>
      </c>
      <c r="AC23" s="16">
        <v>0</v>
      </c>
      <c r="AD23" s="16">
        <v>2000</v>
      </c>
      <c r="AE23" s="101">
        <v>0</v>
      </c>
      <c r="AF23" s="8" t="s">
        <v>157</v>
      </c>
    </row>
    <row r="24" spans="1:34" ht="30" customHeight="1" x14ac:dyDescent="0.35">
      <c r="A24" s="8" t="s">
        <v>140</v>
      </c>
      <c r="B24" s="121">
        <v>4</v>
      </c>
      <c r="C24" s="121" t="s">
        <v>18</v>
      </c>
      <c r="D24" s="121" t="s">
        <v>12</v>
      </c>
      <c r="E24" s="27" t="s">
        <v>106</v>
      </c>
      <c r="F24" s="32"/>
      <c r="G24" s="36"/>
      <c r="H24" s="59" t="str">
        <f t="shared" ref="H24:H87" si="6">IF(F24="Done", V24*VLOOKUP(E24, $AB$3:$AC$11, 2, FALSE), "")</f>
        <v/>
      </c>
      <c r="I24" s="59" t="str">
        <f t="shared" ref="I24:I87" si="7">IF(F24="Done", V24*VLOOKUP(E24, $AB$3:$AD$11, 3, FALSE), "")</f>
        <v/>
      </c>
      <c r="J24" s="60" t="str">
        <f t="shared" ref="J24:J87" si="8">IF(F24="Done", V24*VLOOKUP(E24, $AB$3:$AE$11, 4, FALSE), "")</f>
        <v/>
      </c>
      <c r="K24" s="156" t="s">
        <v>104</v>
      </c>
      <c r="L24" s="44"/>
      <c r="U24" s="179" t="str">
        <f t="shared" si="5"/>
        <v>Britoil 60</v>
      </c>
      <c r="V24" s="180">
        <f t="shared" si="3"/>
        <v>1.3</v>
      </c>
      <c r="W24" s="180">
        <v>32000</v>
      </c>
      <c r="X24" s="180" t="s">
        <v>166</v>
      </c>
      <c r="Y24" s="180">
        <f t="shared" si="4"/>
        <v>32083</v>
      </c>
      <c r="Z24" s="181"/>
    </row>
    <row r="25" spans="1:34" ht="25" customHeight="1" outlineLevel="1" x14ac:dyDescent="0.35">
      <c r="B25" s="122"/>
      <c r="C25" s="122"/>
      <c r="D25" s="122"/>
      <c r="E25" s="6" t="s">
        <v>13</v>
      </c>
      <c r="F25" s="32" t="s">
        <v>17</v>
      </c>
      <c r="G25" s="37"/>
      <c r="H25" s="61">
        <f t="shared" si="6"/>
        <v>15600</v>
      </c>
      <c r="I25" s="61">
        <f t="shared" si="7"/>
        <v>4160</v>
      </c>
      <c r="J25" s="62">
        <f t="shared" si="8"/>
        <v>83.2</v>
      </c>
      <c r="K25" s="157"/>
      <c r="L25" s="45"/>
      <c r="U25" s="179" t="s">
        <v>18</v>
      </c>
      <c r="V25" s="180">
        <f t="shared" si="3"/>
        <v>1.3</v>
      </c>
      <c r="W25" s="180">
        <v>32000</v>
      </c>
      <c r="X25" s="180"/>
      <c r="Y25" s="180">
        <f t="shared" si="4"/>
        <v>32083</v>
      </c>
      <c r="Z25" s="181"/>
      <c r="AC25" s="129" t="s">
        <v>168</v>
      </c>
      <c r="AD25" s="128"/>
    </row>
    <row r="26" spans="1:34" ht="25" customHeight="1" outlineLevel="1" x14ac:dyDescent="0.35">
      <c r="B26" s="122"/>
      <c r="C26" s="122"/>
      <c r="D26" s="122"/>
      <c r="E26" s="6" t="s">
        <v>113</v>
      </c>
      <c r="F26" s="32" t="s">
        <v>21</v>
      </c>
      <c r="G26" s="37"/>
      <c r="H26" s="61" t="str">
        <f t="shared" si="6"/>
        <v/>
      </c>
      <c r="I26" s="61" t="str">
        <f t="shared" si="7"/>
        <v/>
      </c>
      <c r="J26" s="62" t="str">
        <f t="shared" si="8"/>
        <v/>
      </c>
      <c r="K26" s="157"/>
      <c r="L26" s="45"/>
      <c r="U26" s="179" t="s">
        <v>18</v>
      </c>
      <c r="V26" s="180">
        <f t="shared" si="3"/>
        <v>1.3</v>
      </c>
      <c r="W26" s="180">
        <v>32000</v>
      </c>
      <c r="X26" s="180"/>
      <c r="Y26" s="180">
        <f t="shared" si="4"/>
        <v>32083</v>
      </c>
      <c r="Z26" s="181"/>
    </row>
    <row r="27" spans="1:34" ht="25" customHeight="1" outlineLevel="1" x14ac:dyDescent="0.35">
      <c r="B27" s="122"/>
      <c r="C27" s="122"/>
      <c r="D27" s="122"/>
      <c r="E27" s="6" t="s">
        <v>110</v>
      </c>
      <c r="F27" s="32" t="s">
        <v>21</v>
      </c>
      <c r="G27" s="37"/>
      <c r="H27" s="61" t="str">
        <f t="shared" si="6"/>
        <v/>
      </c>
      <c r="I27" s="61" t="str">
        <f t="shared" si="7"/>
        <v/>
      </c>
      <c r="J27" s="62" t="str">
        <f t="shared" si="8"/>
        <v/>
      </c>
      <c r="K27" s="157"/>
      <c r="L27" s="45"/>
      <c r="U27" s="179" t="s">
        <v>18</v>
      </c>
      <c r="V27" s="180">
        <f t="shared" si="3"/>
        <v>1.3</v>
      </c>
      <c r="W27" s="180">
        <v>32000</v>
      </c>
      <c r="X27" s="180"/>
      <c r="Y27" s="180">
        <f t="shared" si="4"/>
        <v>32083</v>
      </c>
      <c r="Z27" s="181"/>
    </row>
    <row r="28" spans="1:34" ht="25" customHeight="1" outlineLevel="1" x14ac:dyDescent="0.35">
      <c r="B28" s="123"/>
      <c r="C28" s="123"/>
      <c r="D28" s="123"/>
      <c r="E28" s="7" t="s">
        <v>14</v>
      </c>
      <c r="F28" s="32" t="s">
        <v>17</v>
      </c>
      <c r="G28" s="38">
        <v>45397</v>
      </c>
      <c r="H28" s="63">
        <f t="shared" si="6"/>
        <v>3250</v>
      </c>
      <c r="I28" s="63">
        <f t="shared" si="7"/>
        <v>4160</v>
      </c>
      <c r="J28" s="64">
        <f t="shared" si="8"/>
        <v>14.3</v>
      </c>
      <c r="K28" s="158"/>
      <c r="L28" s="46"/>
      <c r="U28" s="179" t="s">
        <v>18</v>
      </c>
      <c r="V28" s="180">
        <f t="shared" si="3"/>
        <v>1.3</v>
      </c>
      <c r="W28" s="180">
        <v>32000</v>
      </c>
      <c r="X28" s="180"/>
      <c r="Y28" s="180">
        <f t="shared" si="4"/>
        <v>32083</v>
      </c>
      <c r="Z28" s="181"/>
    </row>
    <row r="29" spans="1:34" ht="30" customHeight="1" x14ac:dyDescent="0.35">
      <c r="A29" s="8" t="s">
        <v>140</v>
      </c>
      <c r="B29" s="124">
        <v>5</v>
      </c>
      <c r="C29" s="124" t="s">
        <v>19</v>
      </c>
      <c r="D29" s="124" t="s">
        <v>12</v>
      </c>
      <c r="E29" s="26" t="s">
        <v>106</v>
      </c>
      <c r="F29" s="31"/>
      <c r="G29" s="35"/>
      <c r="H29" s="57" t="str">
        <f t="shared" si="6"/>
        <v/>
      </c>
      <c r="I29" s="57" t="str">
        <f t="shared" si="7"/>
        <v/>
      </c>
      <c r="J29" s="58" t="str">
        <f t="shared" si="8"/>
        <v/>
      </c>
      <c r="K29" s="3"/>
      <c r="L29" s="41"/>
      <c r="U29" s="179" t="str">
        <f t="shared" si="5"/>
        <v>Britoil 61</v>
      </c>
      <c r="V29" s="180">
        <f t="shared" si="3"/>
        <v>1.3</v>
      </c>
      <c r="W29" s="180">
        <v>32000</v>
      </c>
      <c r="X29" s="180" t="s">
        <v>166</v>
      </c>
      <c r="Y29" s="180">
        <f t="shared" si="4"/>
        <v>32083</v>
      </c>
      <c r="Z29" s="181"/>
      <c r="AB29" s="8" t="s">
        <v>217</v>
      </c>
      <c r="AC29" s="8" t="s">
        <v>218</v>
      </c>
      <c r="AD29" s="8" t="s">
        <v>219</v>
      </c>
      <c r="AE29" s="8" t="s">
        <v>220</v>
      </c>
    </row>
    <row r="30" spans="1:34" ht="25" customHeight="1" outlineLevel="1" x14ac:dyDescent="0.35">
      <c r="B30" s="125"/>
      <c r="C30" s="125"/>
      <c r="D30" s="125"/>
      <c r="E30" s="3" t="s">
        <v>13</v>
      </c>
      <c r="F30" s="31" t="s">
        <v>17</v>
      </c>
      <c r="G30" s="35"/>
      <c r="H30" s="57">
        <f t="shared" si="6"/>
        <v>15600</v>
      </c>
      <c r="I30" s="57">
        <f t="shared" si="7"/>
        <v>4160</v>
      </c>
      <c r="J30" s="58">
        <f t="shared" si="8"/>
        <v>83.2</v>
      </c>
      <c r="K30" s="3"/>
      <c r="L30" s="42"/>
      <c r="U30" s="179" t="str" cm="1">
        <f t="array" ref="U30">IF(C30="",INDEX(C27:C30,MATCH(TRUE,INDEX((C27:C30&lt;&gt;""),0),0)),C30)</f>
        <v>Britoil 61</v>
      </c>
      <c r="V30" s="180">
        <f t="shared" si="3"/>
        <v>1.3</v>
      </c>
      <c r="W30" s="180">
        <v>32000</v>
      </c>
      <c r="X30" s="180"/>
      <c r="Y30" s="180">
        <f t="shared" si="4"/>
        <v>32083</v>
      </c>
      <c r="Z30" s="181"/>
      <c r="AB30" s="8" t="s">
        <v>11</v>
      </c>
      <c r="AC30" s="120">
        <v>3600</v>
      </c>
      <c r="AD30" s="8">
        <v>52</v>
      </c>
      <c r="AE30" s="8" t="s">
        <v>221</v>
      </c>
      <c r="AF30" s="8">
        <v>14.4</v>
      </c>
      <c r="AG30" s="8">
        <v>1</v>
      </c>
      <c r="AH30" s="8">
        <v>11000</v>
      </c>
    </row>
    <row r="31" spans="1:34" ht="25" customHeight="1" outlineLevel="1" x14ac:dyDescent="0.35">
      <c r="B31" s="125"/>
      <c r="C31" s="125"/>
      <c r="D31" s="125"/>
      <c r="E31" s="3" t="s">
        <v>113</v>
      </c>
      <c r="F31" s="31" t="s">
        <v>21</v>
      </c>
      <c r="G31" s="35"/>
      <c r="H31" s="57" t="str">
        <f t="shared" si="6"/>
        <v/>
      </c>
      <c r="I31" s="57" t="str">
        <f t="shared" si="7"/>
        <v/>
      </c>
      <c r="J31" s="58" t="str">
        <f t="shared" si="8"/>
        <v/>
      </c>
      <c r="K31" s="3"/>
      <c r="L31" s="42"/>
      <c r="U31" s="179" t="str" cm="1">
        <f t="array" ref="U31">IF(C31="",INDEX(C28:C31,MATCH(TRUE,INDEX((C28:C31&lt;&gt;""),0),0)),C31)</f>
        <v>Britoil 61</v>
      </c>
      <c r="V31" s="180">
        <f t="shared" si="3"/>
        <v>1.3</v>
      </c>
      <c r="W31" s="180">
        <v>32000</v>
      </c>
      <c r="X31" s="180"/>
      <c r="Y31" s="180">
        <f t="shared" si="4"/>
        <v>32083</v>
      </c>
      <c r="Z31" s="181"/>
      <c r="AB31" s="8" t="s">
        <v>15</v>
      </c>
      <c r="AC31" s="120">
        <v>3600</v>
      </c>
      <c r="AD31" s="8">
        <v>52</v>
      </c>
      <c r="AE31" s="8" t="s">
        <v>221</v>
      </c>
      <c r="AF31" s="8">
        <v>14.4</v>
      </c>
      <c r="AG31" s="8">
        <v>1</v>
      </c>
      <c r="AH31" s="8">
        <f>$AH$30 *AC31/ $AC$30</f>
        <v>11000</v>
      </c>
    </row>
    <row r="32" spans="1:34" ht="25" customHeight="1" outlineLevel="1" x14ac:dyDescent="0.35">
      <c r="B32" s="125"/>
      <c r="C32" s="125"/>
      <c r="D32" s="125"/>
      <c r="E32" s="3" t="s">
        <v>110</v>
      </c>
      <c r="F32" s="31" t="s">
        <v>21</v>
      </c>
      <c r="G32" s="35"/>
      <c r="H32" s="57" t="str">
        <f t="shared" si="6"/>
        <v/>
      </c>
      <c r="I32" s="57" t="str">
        <f t="shared" si="7"/>
        <v/>
      </c>
      <c r="J32" s="58" t="str">
        <f t="shared" si="8"/>
        <v/>
      </c>
      <c r="K32" s="3"/>
      <c r="L32" s="42"/>
      <c r="U32" s="179" t="str" cm="1">
        <f t="array" ref="U32">IF(C32="",INDEX(C28:C32,MATCH(TRUE,INDEX((C28:C32&lt;&gt;""),0),0)),C32)</f>
        <v>Britoil 61</v>
      </c>
      <c r="V32" s="180">
        <f t="shared" si="3"/>
        <v>1.3</v>
      </c>
      <c r="W32" s="180">
        <v>32000</v>
      </c>
      <c r="X32" s="180"/>
      <c r="Y32" s="180">
        <f t="shared" si="4"/>
        <v>32083</v>
      </c>
      <c r="Z32" s="181"/>
      <c r="AB32" s="8" t="s">
        <v>16</v>
      </c>
      <c r="AC32" s="120">
        <v>11000</v>
      </c>
      <c r="AD32" s="8">
        <v>150</v>
      </c>
      <c r="AE32" s="8" t="s">
        <v>222</v>
      </c>
      <c r="AF32" s="8">
        <v>13.6</v>
      </c>
      <c r="AG32" s="8">
        <v>0.94405594400000004</v>
      </c>
      <c r="AH32" s="8">
        <f t="shared" ref="AH32:AH96" si="9">$AH$30 *AC32/ $AC$30</f>
        <v>33611.111111111109</v>
      </c>
    </row>
    <row r="33" spans="1:34" ht="25" customHeight="1" outlineLevel="1" x14ac:dyDescent="0.35">
      <c r="B33" s="126"/>
      <c r="C33" s="126"/>
      <c r="D33" s="126"/>
      <c r="E33" s="4" t="s">
        <v>14</v>
      </c>
      <c r="F33" s="31" t="s">
        <v>17</v>
      </c>
      <c r="G33" s="35"/>
      <c r="H33" s="57">
        <f t="shared" si="6"/>
        <v>3250</v>
      </c>
      <c r="I33" s="57">
        <f t="shared" si="7"/>
        <v>4160</v>
      </c>
      <c r="J33" s="58">
        <f t="shared" si="8"/>
        <v>14.3</v>
      </c>
      <c r="K33" s="3"/>
      <c r="L33" s="43"/>
      <c r="U33" s="179" t="str" cm="1">
        <f t="array" ref="U33">IF(C33="",INDEX(C29:C33,MATCH(TRUE,INDEX((C29:C33&lt;&gt;""),0),0)),C33)</f>
        <v>Britoil 61</v>
      </c>
      <c r="V33" s="180">
        <f t="shared" si="3"/>
        <v>1.3</v>
      </c>
      <c r="W33" s="180">
        <v>32000</v>
      </c>
      <c r="X33" s="180"/>
      <c r="Y33" s="180">
        <f t="shared" si="4"/>
        <v>32083</v>
      </c>
      <c r="Z33" s="181"/>
      <c r="AB33" s="8" t="s">
        <v>18</v>
      </c>
      <c r="AC33" s="120">
        <v>10500</v>
      </c>
      <c r="AD33" s="8">
        <v>130</v>
      </c>
      <c r="AE33" s="8" t="s">
        <v>223</v>
      </c>
      <c r="AF33" s="8">
        <v>12.4</v>
      </c>
      <c r="AG33" s="8">
        <v>0.85714285700000004</v>
      </c>
      <c r="AH33" s="8">
        <f t="shared" si="9"/>
        <v>32083.333333333332</v>
      </c>
    </row>
    <row r="34" spans="1:34" ht="30" customHeight="1" x14ac:dyDescent="0.35">
      <c r="B34" s="121">
        <v>6</v>
      </c>
      <c r="C34" s="121" t="s">
        <v>20</v>
      </c>
      <c r="D34" s="121" t="s">
        <v>12</v>
      </c>
      <c r="E34" s="27" t="s">
        <v>106</v>
      </c>
      <c r="F34" s="32"/>
      <c r="G34" s="36"/>
      <c r="H34" s="59" t="str">
        <f t="shared" si="6"/>
        <v/>
      </c>
      <c r="I34" s="59" t="str">
        <f t="shared" si="7"/>
        <v/>
      </c>
      <c r="J34" s="60" t="str">
        <f t="shared" si="8"/>
        <v/>
      </c>
      <c r="K34" s="5"/>
      <c r="L34" s="44"/>
      <c r="U34" s="179" t="str" cm="1">
        <f t="array" ref="U34">IF(C34="",INDEX(C30:C34,MATCH(TRUE,INDEX((C30:C34&lt;&gt;""),0),0)),C34)</f>
        <v>Britoil 62</v>
      </c>
      <c r="V34" s="180">
        <f t="shared" si="3"/>
        <v>0.77146063213016647</v>
      </c>
      <c r="W34" s="180">
        <v>16000</v>
      </c>
      <c r="X34" s="180"/>
      <c r="Y34" s="180">
        <f t="shared" si="4"/>
        <v>16500</v>
      </c>
      <c r="Z34" s="181"/>
      <c r="AB34" s="8" t="s">
        <v>19</v>
      </c>
      <c r="AC34" s="120">
        <v>10500</v>
      </c>
      <c r="AD34" s="8">
        <v>130</v>
      </c>
      <c r="AE34" s="8" t="s">
        <v>223</v>
      </c>
      <c r="AF34" s="8">
        <v>12.4</v>
      </c>
      <c r="AG34" s="8">
        <v>0.85714285700000004</v>
      </c>
      <c r="AH34" s="8">
        <f t="shared" si="9"/>
        <v>32083.333333333332</v>
      </c>
    </row>
    <row r="35" spans="1:34" ht="25" customHeight="1" outlineLevel="1" x14ac:dyDescent="0.35">
      <c r="B35" s="122"/>
      <c r="C35" s="122"/>
      <c r="D35" s="122"/>
      <c r="E35" s="6" t="s">
        <v>13</v>
      </c>
      <c r="F35" s="32" t="s">
        <v>17</v>
      </c>
      <c r="G35" s="37"/>
      <c r="H35" s="61">
        <f t="shared" si="6"/>
        <v>9257.5275855619984</v>
      </c>
      <c r="I35" s="61">
        <f t="shared" si="7"/>
        <v>2468.6740228165327</v>
      </c>
      <c r="J35" s="62">
        <f t="shared" si="8"/>
        <v>49.373480456330654</v>
      </c>
      <c r="K35" s="6"/>
      <c r="L35" s="45"/>
      <c r="U35" s="179" t="str" cm="1">
        <f t="array" ref="U35">IF(C35="",INDEX(C32:C35,MATCH(TRUE,INDEX((C32:C35&lt;&gt;""),0),0)),C35)</f>
        <v>Britoil 62</v>
      </c>
      <c r="V35" s="180">
        <f t="shared" si="3"/>
        <v>0.77146063213016647</v>
      </c>
      <c r="W35" s="180">
        <v>16000</v>
      </c>
      <c r="X35" s="180"/>
      <c r="Y35" s="180">
        <f t="shared" si="4"/>
        <v>16500</v>
      </c>
      <c r="Z35" s="181"/>
      <c r="AB35" s="8" t="s">
        <v>20</v>
      </c>
      <c r="AC35" s="120">
        <v>5400</v>
      </c>
      <c r="AD35" s="8">
        <v>70</v>
      </c>
      <c r="AE35" s="8" t="s">
        <v>224</v>
      </c>
      <c r="AF35" s="8">
        <v>13</v>
      </c>
      <c r="AG35" s="8">
        <v>0.89743589700000004</v>
      </c>
      <c r="AH35" s="8">
        <f t="shared" si="9"/>
        <v>16500</v>
      </c>
    </row>
    <row r="36" spans="1:34" ht="25" customHeight="1" outlineLevel="1" x14ac:dyDescent="0.35">
      <c r="B36" s="122"/>
      <c r="C36" s="122"/>
      <c r="D36" s="122"/>
      <c r="E36" s="6" t="s">
        <v>113</v>
      </c>
      <c r="F36" s="32"/>
      <c r="G36" s="37"/>
      <c r="H36" s="61" t="str">
        <f t="shared" si="6"/>
        <v/>
      </c>
      <c r="I36" s="61" t="str">
        <f t="shared" si="7"/>
        <v/>
      </c>
      <c r="J36" s="62" t="str">
        <f t="shared" si="8"/>
        <v/>
      </c>
      <c r="K36" s="6"/>
      <c r="L36" s="45"/>
      <c r="U36" s="179" t="str" cm="1">
        <f t="array" ref="U36">IF(C36="",INDEX(C33:C36,MATCH(TRUE,INDEX((C33:C36&lt;&gt;""),0),0)),C36)</f>
        <v>Britoil 62</v>
      </c>
      <c r="V36" s="180">
        <f t="shared" si="3"/>
        <v>0.77146063213016647</v>
      </c>
      <c r="W36" s="180">
        <v>16000</v>
      </c>
      <c r="X36" s="180"/>
      <c r="Y36" s="180">
        <f t="shared" si="4"/>
        <v>16500</v>
      </c>
      <c r="Z36" s="181"/>
      <c r="AB36" s="8" t="s">
        <v>22</v>
      </c>
      <c r="AC36" s="120">
        <v>5400</v>
      </c>
      <c r="AD36" s="8">
        <v>70</v>
      </c>
      <c r="AE36" s="8" t="s">
        <v>224</v>
      </c>
      <c r="AF36" s="8">
        <v>13</v>
      </c>
      <c r="AG36" s="8">
        <v>0.89743589700000004</v>
      </c>
      <c r="AH36" s="8">
        <f t="shared" si="9"/>
        <v>16500</v>
      </c>
    </row>
    <row r="37" spans="1:34" ht="25" customHeight="1" outlineLevel="1" x14ac:dyDescent="0.35">
      <c r="B37" s="122"/>
      <c r="C37" s="122"/>
      <c r="D37" s="122"/>
      <c r="E37" s="6" t="s">
        <v>110</v>
      </c>
      <c r="F37" s="32"/>
      <c r="G37" s="37"/>
      <c r="H37" s="61" t="str">
        <f t="shared" si="6"/>
        <v/>
      </c>
      <c r="I37" s="61" t="str">
        <f t="shared" si="7"/>
        <v/>
      </c>
      <c r="J37" s="62" t="str">
        <f t="shared" si="8"/>
        <v/>
      </c>
      <c r="K37" s="6"/>
      <c r="L37" s="45"/>
      <c r="U37" s="179" t="str" cm="1">
        <f t="array" ref="U37">IF(C37="",INDEX(C33:C37,MATCH(TRUE,INDEX((C33:C37&lt;&gt;""),0),0)),C37)</f>
        <v>Britoil 62</v>
      </c>
      <c r="V37" s="180">
        <f t="shared" si="3"/>
        <v>0.77146063213016647</v>
      </c>
      <c r="W37" s="180">
        <v>16000</v>
      </c>
      <c r="X37" s="180"/>
      <c r="Y37" s="180">
        <f t="shared" si="4"/>
        <v>16500</v>
      </c>
      <c r="Z37" s="181"/>
      <c r="AB37" s="8" t="s">
        <v>23</v>
      </c>
      <c r="AC37" s="120">
        <v>5400</v>
      </c>
      <c r="AD37" s="8">
        <v>70</v>
      </c>
      <c r="AE37" s="8" t="s">
        <v>224</v>
      </c>
      <c r="AF37" s="8">
        <v>13</v>
      </c>
      <c r="AG37" s="8">
        <v>0.89743589700000004</v>
      </c>
      <c r="AH37" s="8">
        <f t="shared" si="9"/>
        <v>16500</v>
      </c>
    </row>
    <row r="38" spans="1:34" ht="25" customHeight="1" outlineLevel="1" x14ac:dyDescent="0.35">
      <c r="B38" s="123"/>
      <c r="C38" s="123"/>
      <c r="D38" s="123"/>
      <c r="E38" s="7" t="s">
        <v>14</v>
      </c>
      <c r="F38" s="32" t="s">
        <v>21</v>
      </c>
      <c r="G38" s="38"/>
      <c r="H38" s="63" t="str">
        <f t="shared" si="6"/>
        <v/>
      </c>
      <c r="I38" s="63" t="str">
        <f t="shared" si="7"/>
        <v/>
      </c>
      <c r="J38" s="64" t="str">
        <f t="shared" si="8"/>
        <v/>
      </c>
      <c r="K38" s="7"/>
      <c r="L38" s="46"/>
      <c r="U38" s="179" t="str" cm="1">
        <f t="array" ref="U38">IF(C38="",INDEX(C34:C38,MATCH(TRUE,INDEX((C34:C38&lt;&gt;""),0),0)),C38)</f>
        <v>Britoil 62</v>
      </c>
      <c r="V38" s="180">
        <f t="shared" si="3"/>
        <v>0.77146063213016647</v>
      </c>
      <c r="W38" s="180">
        <v>16000</v>
      </c>
      <c r="X38" s="180"/>
      <c r="Y38" s="180">
        <f t="shared" si="4"/>
        <v>16500</v>
      </c>
      <c r="Z38" s="181"/>
      <c r="AB38" s="8" t="s">
        <v>24</v>
      </c>
      <c r="AC38" s="120">
        <v>5400</v>
      </c>
      <c r="AD38" s="8">
        <v>70</v>
      </c>
      <c r="AE38" s="8" t="s">
        <v>224</v>
      </c>
      <c r="AF38" s="8">
        <v>13</v>
      </c>
      <c r="AG38" s="8">
        <v>0.89743589700000004</v>
      </c>
      <c r="AH38" s="8">
        <f t="shared" si="9"/>
        <v>16500</v>
      </c>
    </row>
    <row r="39" spans="1:34" ht="30" customHeight="1" x14ac:dyDescent="0.35">
      <c r="A39" s="8" t="s">
        <v>140</v>
      </c>
      <c r="B39" s="124">
        <v>7</v>
      </c>
      <c r="C39" s="124" t="s">
        <v>22</v>
      </c>
      <c r="D39" s="124" t="s">
        <v>12</v>
      </c>
      <c r="E39" s="26" t="s">
        <v>106</v>
      </c>
      <c r="F39" s="31"/>
      <c r="G39" s="35"/>
      <c r="H39" s="57" t="str">
        <f t="shared" si="6"/>
        <v/>
      </c>
      <c r="I39" s="57" t="str">
        <f t="shared" si="7"/>
        <v/>
      </c>
      <c r="J39" s="58" t="str">
        <f t="shared" si="8"/>
        <v/>
      </c>
      <c r="K39" s="3"/>
      <c r="L39" s="41"/>
      <c r="U39" s="179" t="str" cm="1">
        <f t="array" ref="U39">IF(C39="",INDEX(C35:C39,MATCH(TRUE,INDEX((C35:C39&lt;&gt;""),0),0)),C39)</f>
        <v>Britoil 63</v>
      </c>
      <c r="V39" s="180">
        <f t="shared" si="3"/>
        <v>0.77146063213016647</v>
      </c>
      <c r="W39" s="180">
        <v>16000</v>
      </c>
      <c r="X39" s="180"/>
      <c r="Y39" s="180">
        <f t="shared" si="4"/>
        <v>16500</v>
      </c>
      <c r="Z39" s="181"/>
      <c r="AB39" s="8" t="s">
        <v>25</v>
      </c>
      <c r="AC39" s="120">
        <v>5400</v>
      </c>
      <c r="AD39" s="8">
        <v>70</v>
      </c>
      <c r="AE39" s="8" t="s">
        <v>224</v>
      </c>
      <c r="AF39" s="8">
        <v>13</v>
      </c>
      <c r="AG39" s="8">
        <v>0.89743589700000004</v>
      </c>
      <c r="AH39" s="8">
        <f t="shared" si="9"/>
        <v>16500</v>
      </c>
    </row>
    <row r="40" spans="1:34" ht="25" customHeight="1" outlineLevel="1" x14ac:dyDescent="0.35">
      <c r="B40" s="125"/>
      <c r="C40" s="125"/>
      <c r="D40" s="125"/>
      <c r="E40" s="3" t="s">
        <v>13</v>
      </c>
      <c r="F40" s="31" t="s">
        <v>17</v>
      </c>
      <c r="G40" s="35"/>
      <c r="H40" s="57">
        <f t="shared" si="6"/>
        <v>9257.5275855619984</v>
      </c>
      <c r="I40" s="57">
        <f t="shared" si="7"/>
        <v>2468.6740228165327</v>
      </c>
      <c r="J40" s="58">
        <f t="shared" si="8"/>
        <v>49.373480456330654</v>
      </c>
      <c r="K40" s="3"/>
      <c r="L40" s="42"/>
      <c r="U40" s="179" t="str" cm="1">
        <f t="array" ref="U40">IF(C40="",INDEX(C37:C40,MATCH(TRUE,INDEX((C37:C40&lt;&gt;""),0),0)),C40)</f>
        <v>Britoil 63</v>
      </c>
      <c r="V40" s="180">
        <f t="shared" si="3"/>
        <v>0.77146063213016647</v>
      </c>
      <c r="W40" s="180">
        <v>16000</v>
      </c>
      <c r="X40" s="180"/>
      <c r="Y40" s="180">
        <f t="shared" si="4"/>
        <v>16500</v>
      </c>
      <c r="Z40" s="181"/>
      <c r="AB40" s="8" t="s">
        <v>26</v>
      </c>
      <c r="AC40" s="120">
        <v>5400</v>
      </c>
      <c r="AD40" s="8">
        <v>70</v>
      </c>
      <c r="AE40" s="8" t="s">
        <v>224</v>
      </c>
      <c r="AF40" s="8">
        <v>13</v>
      </c>
      <c r="AG40" s="8">
        <v>0.89743589700000004</v>
      </c>
      <c r="AH40" s="8">
        <f t="shared" si="9"/>
        <v>16500</v>
      </c>
    </row>
    <row r="41" spans="1:34" ht="25" customHeight="1" outlineLevel="1" x14ac:dyDescent="0.35">
      <c r="B41" s="125"/>
      <c r="C41" s="125"/>
      <c r="D41" s="125"/>
      <c r="E41" s="3" t="s">
        <v>113</v>
      </c>
      <c r="F41" s="31" t="s">
        <v>21</v>
      </c>
      <c r="G41" s="35"/>
      <c r="H41" s="57" t="str">
        <f t="shared" si="6"/>
        <v/>
      </c>
      <c r="I41" s="57" t="str">
        <f t="shared" si="7"/>
        <v/>
      </c>
      <c r="J41" s="58" t="str">
        <f t="shared" si="8"/>
        <v/>
      </c>
      <c r="K41" s="3"/>
      <c r="L41" s="42"/>
      <c r="U41" s="179" t="str" cm="1">
        <f t="array" ref="U41">IF(C41="",INDEX(C38:C41,MATCH(TRUE,INDEX((C38:C41&lt;&gt;""),0),0)),C41)</f>
        <v>Britoil 63</v>
      </c>
      <c r="V41" s="180">
        <f t="shared" si="3"/>
        <v>0.77146063213016647</v>
      </c>
      <c r="W41" s="180">
        <v>16000</v>
      </c>
      <c r="X41" s="180"/>
      <c r="Y41" s="180">
        <f t="shared" si="4"/>
        <v>16500</v>
      </c>
      <c r="Z41" s="181"/>
      <c r="AB41" s="8" t="s">
        <v>27</v>
      </c>
      <c r="AC41" s="120">
        <v>7216</v>
      </c>
      <c r="AD41" s="8">
        <v>100</v>
      </c>
      <c r="AE41" s="8" t="s">
        <v>225</v>
      </c>
      <c r="AF41" s="8">
        <v>13.9</v>
      </c>
      <c r="AG41" s="8">
        <v>0.959406447</v>
      </c>
      <c r="AH41" s="8">
        <f t="shared" si="9"/>
        <v>22048.888888888891</v>
      </c>
    </row>
    <row r="42" spans="1:34" ht="25" customHeight="1" outlineLevel="1" x14ac:dyDescent="0.35">
      <c r="B42" s="125"/>
      <c r="C42" s="125"/>
      <c r="D42" s="125"/>
      <c r="E42" s="3" t="s">
        <v>110</v>
      </c>
      <c r="F42" s="31" t="s">
        <v>21</v>
      </c>
      <c r="G42" s="35"/>
      <c r="H42" s="57" t="str">
        <f t="shared" si="6"/>
        <v/>
      </c>
      <c r="I42" s="57" t="str">
        <f t="shared" si="7"/>
        <v/>
      </c>
      <c r="J42" s="58" t="str">
        <f t="shared" si="8"/>
        <v/>
      </c>
      <c r="K42" s="3"/>
      <c r="L42" s="42"/>
      <c r="U42" s="179" t="str" cm="1">
        <f t="array" ref="U42">IF(C42="",INDEX(C38:C42,MATCH(TRUE,INDEX((C38:C42&lt;&gt;""),0),0)),C42)</f>
        <v>Britoil 63</v>
      </c>
      <c r="V42" s="180">
        <f t="shared" si="3"/>
        <v>0.77146063213016647</v>
      </c>
      <c r="W42" s="180">
        <v>16000</v>
      </c>
      <c r="X42" s="180"/>
      <c r="Y42" s="180">
        <f t="shared" si="4"/>
        <v>16500</v>
      </c>
      <c r="Z42" s="181"/>
      <c r="AB42" s="8" t="s">
        <v>28</v>
      </c>
      <c r="AC42" s="120">
        <v>7216</v>
      </c>
      <c r="AD42" s="8">
        <v>100</v>
      </c>
      <c r="AE42" s="8" t="s">
        <v>225</v>
      </c>
      <c r="AF42" s="8">
        <v>13.9</v>
      </c>
      <c r="AG42" s="8">
        <v>0.959406447</v>
      </c>
      <c r="AH42" s="8">
        <f t="shared" si="9"/>
        <v>22048.888888888891</v>
      </c>
    </row>
    <row r="43" spans="1:34" ht="25" customHeight="1" outlineLevel="1" x14ac:dyDescent="0.35">
      <c r="B43" s="126"/>
      <c r="C43" s="126"/>
      <c r="D43" s="126"/>
      <c r="E43" s="4" t="s">
        <v>14</v>
      </c>
      <c r="F43" s="31" t="s">
        <v>17</v>
      </c>
      <c r="G43" s="35"/>
      <c r="H43" s="57">
        <f t="shared" si="6"/>
        <v>1928.6515803254163</v>
      </c>
      <c r="I43" s="57">
        <f t="shared" si="7"/>
        <v>2468.6740228165327</v>
      </c>
      <c r="J43" s="58">
        <f t="shared" si="8"/>
        <v>8.4860669534318305</v>
      </c>
      <c r="K43" s="3"/>
      <c r="L43" s="43"/>
      <c r="U43" s="179" t="str" cm="1">
        <f t="array" ref="U43">IF(C43="",INDEX(C39:C43,MATCH(TRUE,INDEX((C39:C43&lt;&gt;""),0),0)),C43)</f>
        <v>Britoil 63</v>
      </c>
      <c r="V43" s="180">
        <f t="shared" si="3"/>
        <v>0.77146063213016647</v>
      </c>
      <c r="W43" s="180">
        <v>16000</v>
      </c>
      <c r="X43" s="180"/>
      <c r="Y43" s="180">
        <f t="shared" si="4"/>
        <v>16500</v>
      </c>
      <c r="Z43" s="181"/>
      <c r="AB43" s="8" t="s">
        <v>29</v>
      </c>
      <c r="AC43" s="120">
        <v>7216</v>
      </c>
      <c r="AD43" s="8">
        <v>100</v>
      </c>
      <c r="AE43" s="8" t="s">
        <v>225</v>
      </c>
      <c r="AF43" s="8">
        <v>13.9</v>
      </c>
      <c r="AG43" s="8">
        <v>0.959406447</v>
      </c>
      <c r="AH43" s="8">
        <f t="shared" si="9"/>
        <v>22048.888888888891</v>
      </c>
    </row>
    <row r="44" spans="1:34" ht="30" customHeight="1" x14ac:dyDescent="0.35">
      <c r="B44" s="121">
        <v>8</v>
      </c>
      <c r="C44" s="121" t="s">
        <v>23</v>
      </c>
      <c r="D44" s="121" t="s">
        <v>12</v>
      </c>
      <c r="E44" s="27" t="s">
        <v>106</v>
      </c>
      <c r="F44" s="32"/>
      <c r="G44" s="36"/>
      <c r="H44" s="59" t="str">
        <f t="shared" si="6"/>
        <v/>
      </c>
      <c r="I44" s="59" t="str">
        <f t="shared" si="7"/>
        <v/>
      </c>
      <c r="J44" s="60" t="str">
        <f t="shared" si="8"/>
        <v/>
      </c>
      <c r="K44" s="5"/>
      <c r="L44" s="44"/>
      <c r="U44" s="179" t="str" cm="1">
        <f t="array" ref="U44">IF(C44="",INDEX(C40:C44,MATCH(TRUE,INDEX((C40:C44&lt;&gt;""),0),0)),C44)</f>
        <v>Britoil 64</v>
      </c>
      <c r="V44" s="180">
        <f t="shared" si="3"/>
        <v>0.77146063213016647</v>
      </c>
      <c r="W44" s="180">
        <v>16000</v>
      </c>
      <c r="X44" s="180"/>
      <c r="Y44" s="180">
        <f t="shared" si="4"/>
        <v>16500</v>
      </c>
      <c r="Z44" s="181"/>
      <c r="AB44" s="8" t="s">
        <v>30</v>
      </c>
      <c r="AC44" s="120">
        <v>7268</v>
      </c>
      <c r="AD44" s="8">
        <v>100</v>
      </c>
      <c r="AE44" s="8" t="s">
        <v>226</v>
      </c>
      <c r="AF44" s="8">
        <v>13.8</v>
      </c>
      <c r="AG44" s="8">
        <v>0.95254222899999996</v>
      </c>
      <c r="AH44" s="8">
        <f t="shared" si="9"/>
        <v>22207.777777777777</v>
      </c>
    </row>
    <row r="45" spans="1:34" ht="25" customHeight="1" outlineLevel="1" x14ac:dyDescent="0.35">
      <c r="B45" s="122"/>
      <c r="C45" s="122"/>
      <c r="D45" s="122"/>
      <c r="E45" s="6" t="s">
        <v>13</v>
      </c>
      <c r="F45" s="32" t="s">
        <v>17</v>
      </c>
      <c r="G45" s="37"/>
      <c r="H45" s="61">
        <f t="shared" si="6"/>
        <v>9257.5275855619984</v>
      </c>
      <c r="I45" s="61">
        <f t="shared" si="7"/>
        <v>2468.6740228165327</v>
      </c>
      <c r="J45" s="62">
        <f t="shared" si="8"/>
        <v>49.373480456330654</v>
      </c>
      <c r="K45" s="6"/>
      <c r="L45" s="45"/>
      <c r="U45" s="179" t="str" cm="1">
        <f t="array" ref="U45">IF(C45="",INDEX(C42:C45,MATCH(TRUE,INDEX((C42:C45&lt;&gt;""),0),0)),C45)</f>
        <v>Britoil 64</v>
      </c>
      <c r="V45" s="180">
        <f t="shared" si="3"/>
        <v>0.77146063213016647</v>
      </c>
      <c r="W45" s="180">
        <v>16000</v>
      </c>
      <c r="X45" s="180"/>
      <c r="Y45" s="180">
        <f t="shared" si="4"/>
        <v>16500</v>
      </c>
      <c r="Z45" s="181"/>
      <c r="AB45" s="8" t="s">
        <v>31</v>
      </c>
      <c r="AC45" s="120">
        <v>7268</v>
      </c>
      <c r="AD45" s="8">
        <v>100</v>
      </c>
      <c r="AE45" s="8" t="s">
        <v>226</v>
      </c>
      <c r="AF45" s="8">
        <v>13.8</v>
      </c>
      <c r="AG45" s="8">
        <v>0.95254222899999996</v>
      </c>
      <c r="AH45" s="8">
        <f t="shared" si="9"/>
        <v>22207.777777777777</v>
      </c>
    </row>
    <row r="46" spans="1:34" ht="25" customHeight="1" outlineLevel="1" x14ac:dyDescent="0.35">
      <c r="B46" s="122"/>
      <c r="C46" s="122"/>
      <c r="D46" s="122"/>
      <c r="E46" s="6" t="s">
        <v>113</v>
      </c>
      <c r="F46" s="32"/>
      <c r="G46" s="37"/>
      <c r="H46" s="61" t="str">
        <f t="shared" si="6"/>
        <v/>
      </c>
      <c r="I46" s="61" t="str">
        <f t="shared" si="7"/>
        <v/>
      </c>
      <c r="J46" s="62" t="str">
        <f t="shared" si="8"/>
        <v/>
      </c>
      <c r="K46" s="6"/>
      <c r="L46" s="45"/>
      <c r="U46" s="179" t="str" cm="1">
        <f t="array" ref="U46">IF(C46="",INDEX(C43:C46,MATCH(TRUE,INDEX((C43:C46&lt;&gt;""),0),0)),C46)</f>
        <v>Britoil 64</v>
      </c>
      <c r="V46" s="180">
        <f t="shared" si="3"/>
        <v>0.77146063213016647</v>
      </c>
      <c r="W46" s="180">
        <v>16000</v>
      </c>
      <c r="X46" s="180"/>
      <c r="Y46" s="180">
        <f t="shared" si="4"/>
        <v>16500</v>
      </c>
      <c r="Z46" s="181"/>
      <c r="AB46" s="8" t="s">
        <v>33</v>
      </c>
      <c r="AC46" s="120">
        <v>8000</v>
      </c>
      <c r="AD46" s="8">
        <v>110</v>
      </c>
      <c r="AE46" s="8" t="s">
        <v>227</v>
      </c>
      <c r="AF46" s="8">
        <v>13.8</v>
      </c>
      <c r="AG46" s="8">
        <v>0.95192307700000001</v>
      </c>
      <c r="AH46" s="8">
        <f t="shared" si="9"/>
        <v>24444.444444444445</v>
      </c>
    </row>
    <row r="47" spans="1:34" ht="25" customHeight="1" outlineLevel="1" x14ac:dyDescent="0.35">
      <c r="B47" s="122"/>
      <c r="C47" s="122"/>
      <c r="D47" s="122"/>
      <c r="E47" s="6" t="s">
        <v>110</v>
      </c>
      <c r="F47" s="32"/>
      <c r="G47" s="37"/>
      <c r="H47" s="61" t="str">
        <f t="shared" si="6"/>
        <v/>
      </c>
      <c r="I47" s="61" t="str">
        <f t="shared" si="7"/>
        <v/>
      </c>
      <c r="J47" s="62" t="str">
        <f t="shared" si="8"/>
        <v/>
      </c>
      <c r="K47" s="6"/>
      <c r="L47" s="45"/>
      <c r="U47" s="179" t="str" cm="1">
        <f t="array" ref="U47">IF(C47="",INDEX(C43:C47,MATCH(TRUE,INDEX((C43:C47&lt;&gt;""),0),0)),C47)</f>
        <v>Britoil 64</v>
      </c>
      <c r="V47" s="180">
        <f t="shared" si="3"/>
        <v>0.77146063213016647</v>
      </c>
      <c r="W47" s="180">
        <v>16000</v>
      </c>
      <c r="X47" s="180"/>
      <c r="Y47" s="180">
        <f t="shared" si="4"/>
        <v>16500</v>
      </c>
      <c r="Z47" s="181"/>
      <c r="AB47" s="8" t="s">
        <v>35</v>
      </c>
      <c r="AC47" s="120">
        <v>8000</v>
      </c>
      <c r="AD47" s="8">
        <v>110</v>
      </c>
      <c r="AE47" s="8" t="s">
        <v>227</v>
      </c>
      <c r="AF47" s="8">
        <v>13.8</v>
      </c>
      <c r="AG47" s="8">
        <v>0.95192307700000001</v>
      </c>
      <c r="AH47" s="8">
        <f t="shared" si="9"/>
        <v>24444.444444444445</v>
      </c>
    </row>
    <row r="48" spans="1:34" ht="25" customHeight="1" outlineLevel="1" x14ac:dyDescent="0.35">
      <c r="B48" s="123"/>
      <c r="C48" s="123"/>
      <c r="D48" s="123"/>
      <c r="E48" s="7" t="s">
        <v>14</v>
      </c>
      <c r="F48" s="32" t="s">
        <v>21</v>
      </c>
      <c r="G48" s="38"/>
      <c r="H48" s="63" t="str">
        <f t="shared" si="6"/>
        <v/>
      </c>
      <c r="I48" s="63" t="str">
        <f t="shared" si="7"/>
        <v/>
      </c>
      <c r="J48" s="64" t="str">
        <f t="shared" si="8"/>
        <v/>
      </c>
      <c r="K48" s="7"/>
      <c r="L48" s="46"/>
      <c r="U48" s="179" t="str" cm="1">
        <f t="array" ref="U48">IF(C48="",INDEX(C44:C48,MATCH(TRUE,INDEX((C44:C48&lt;&gt;""),0),0)),C48)</f>
        <v>Britoil 64</v>
      </c>
      <c r="V48" s="180">
        <f t="shared" si="3"/>
        <v>0.77146063213016647</v>
      </c>
      <c r="W48" s="180">
        <v>16000</v>
      </c>
      <c r="X48" s="180"/>
      <c r="Y48" s="180">
        <f t="shared" si="4"/>
        <v>16500</v>
      </c>
      <c r="Z48" s="181"/>
      <c r="AB48" s="8" t="s">
        <v>36</v>
      </c>
      <c r="AC48" s="120">
        <v>8000</v>
      </c>
      <c r="AD48" s="8">
        <v>106</v>
      </c>
      <c r="AE48" s="8" t="s">
        <v>228</v>
      </c>
      <c r="AF48" s="8">
        <v>13.3</v>
      </c>
      <c r="AG48" s="8">
        <v>0.91730769199999995</v>
      </c>
      <c r="AH48" s="8">
        <f t="shared" si="9"/>
        <v>24444.444444444445</v>
      </c>
    </row>
    <row r="49" spans="1:34" ht="30" customHeight="1" x14ac:dyDescent="0.35">
      <c r="B49" s="124">
        <v>9</v>
      </c>
      <c r="C49" s="124" t="s">
        <v>24</v>
      </c>
      <c r="D49" s="124" t="s">
        <v>12</v>
      </c>
      <c r="E49" s="26" t="s">
        <v>106</v>
      </c>
      <c r="F49" s="31"/>
      <c r="G49" s="35"/>
      <c r="H49" s="57" t="str">
        <f t="shared" si="6"/>
        <v/>
      </c>
      <c r="I49" s="57" t="str">
        <f t="shared" si="7"/>
        <v/>
      </c>
      <c r="J49" s="58" t="str">
        <f t="shared" si="8"/>
        <v/>
      </c>
      <c r="K49" s="3"/>
      <c r="L49" s="41"/>
      <c r="U49" s="179" t="str" cm="1">
        <f t="array" ref="U49">IF(C49="",INDEX(C45:C49,MATCH(TRUE,INDEX((C45:C49&lt;&gt;""),0),0)),C49)</f>
        <v>Britoil 65</v>
      </c>
      <c r="V49" s="180">
        <f t="shared" si="3"/>
        <v>0.77146063213016647</v>
      </c>
      <c r="W49" s="180">
        <v>16000</v>
      </c>
      <c r="X49" s="180"/>
      <c r="Y49" s="180">
        <f t="shared" si="4"/>
        <v>16500</v>
      </c>
      <c r="Z49" s="181"/>
      <c r="AB49" s="8" t="s">
        <v>37</v>
      </c>
      <c r="AC49" s="120">
        <v>12240</v>
      </c>
      <c r="AD49" s="8">
        <v>155</v>
      </c>
      <c r="AE49" s="8" t="s">
        <v>229</v>
      </c>
      <c r="AF49" s="8">
        <v>12.7</v>
      </c>
      <c r="AG49" s="8">
        <v>0.87669683300000001</v>
      </c>
      <c r="AH49" s="8">
        <f t="shared" si="9"/>
        <v>37400</v>
      </c>
    </row>
    <row r="50" spans="1:34" ht="25" customHeight="1" outlineLevel="1" x14ac:dyDescent="0.35">
      <c r="B50" s="125"/>
      <c r="C50" s="125"/>
      <c r="D50" s="125"/>
      <c r="E50" s="3" t="s">
        <v>13</v>
      </c>
      <c r="F50" s="31" t="s">
        <v>17</v>
      </c>
      <c r="G50" s="35"/>
      <c r="H50" s="57">
        <f t="shared" si="6"/>
        <v>9257.5275855619984</v>
      </c>
      <c r="I50" s="57">
        <f t="shared" si="7"/>
        <v>2468.6740228165327</v>
      </c>
      <c r="J50" s="58">
        <f t="shared" si="8"/>
        <v>49.373480456330654</v>
      </c>
      <c r="K50" s="3"/>
      <c r="L50" s="42"/>
      <c r="U50" s="179" t="str" cm="1">
        <f t="array" ref="U50">IF(C50="",INDEX(C47:C50,MATCH(TRUE,INDEX((C47:C50&lt;&gt;""),0),0)),C50)</f>
        <v>Britoil 65</v>
      </c>
      <c r="V50" s="180">
        <f t="shared" si="3"/>
        <v>0.77146063213016647</v>
      </c>
      <c r="W50" s="180">
        <v>16000</v>
      </c>
      <c r="X50" s="180"/>
      <c r="Y50" s="180">
        <f t="shared" si="4"/>
        <v>16500</v>
      </c>
      <c r="Z50" s="181"/>
      <c r="AB50" s="8" t="s">
        <v>39</v>
      </c>
      <c r="AC50" s="120">
        <v>12240</v>
      </c>
      <c r="AD50" s="8">
        <v>155</v>
      </c>
      <c r="AE50" s="8" t="s">
        <v>229</v>
      </c>
      <c r="AF50" s="8">
        <v>12.7</v>
      </c>
      <c r="AG50" s="8">
        <v>0.87669683300000001</v>
      </c>
      <c r="AH50" s="8">
        <f t="shared" si="9"/>
        <v>37400</v>
      </c>
    </row>
    <row r="51" spans="1:34" ht="25" customHeight="1" outlineLevel="1" x14ac:dyDescent="0.35">
      <c r="B51" s="125"/>
      <c r="C51" s="125"/>
      <c r="D51" s="125"/>
      <c r="E51" s="3" t="s">
        <v>113</v>
      </c>
      <c r="F51" s="31"/>
      <c r="G51" s="35"/>
      <c r="H51" s="57" t="str">
        <f t="shared" si="6"/>
        <v/>
      </c>
      <c r="I51" s="57" t="str">
        <f t="shared" si="7"/>
        <v/>
      </c>
      <c r="J51" s="58" t="str">
        <f t="shared" si="8"/>
        <v/>
      </c>
      <c r="K51" s="3"/>
      <c r="L51" s="42"/>
      <c r="U51" s="179" t="str" cm="1">
        <f t="array" ref="U51">IF(C51="",INDEX(C48:C51,MATCH(TRUE,INDEX((C48:C51&lt;&gt;""),0),0)),C51)</f>
        <v>Britoil 65</v>
      </c>
      <c r="V51" s="180">
        <f t="shared" si="3"/>
        <v>0.77146063213016647</v>
      </c>
      <c r="W51" s="180">
        <v>16000</v>
      </c>
      <c r="X51" s="180"/>
      <c r="Y51" s="180">
        <f t="shared" si="4"/>
        <v>16500</v>
      </c>
      <c r="Z51" s="181"/>
      <c r="AB51" s="8" t="s">
        <v>88</v>
      </c>
      <c r="AC51" s="120">
        <v>9000</v>
      </c>
      <c r="AD51" s="8">
        <v>85</v>
      </c>
      <c r="AE51" s="8" t="s">
        <v>230</v>
      </c>
      <c r="AF51" s="8">
        <v>9.4</v>
      </c>
      <c r="AG51" s="8">
        <v>0.65384615400000001</v>
      </c>
      <c r="AH51" s="8">
        <f t="shared" si="9"/>
        <v>27500</v>
      </c>
    </row>
    <row r="52" spans="1:34" ht="25" customHeight="1" outlineLevel="1" x14ac:dyDescent="0.35">
      <c r="B52" s="125"/>
      <c r="C52" s="125"/>
      <c r="D52" s="125"/>
      <c r="E52" s="3" t="s">
        <v>110</v>
      </c>
      <c r="F52" s="31"/>
      <c r="G52" s="35"/>
      <c r="H52" s="57" t="str">
        <f t="shared" si="6"/>
        <v/>
      </c>
      <c r="I52" s="57" t="str">
        <f t="shared" si="7"/>
        <v/>
      </c>
      <c r="J52" s="58" t="str">
        <f t="shared" si="8"/>
        <v/>
      </c>
      <c r="K52" s="3"/>
      <c r="L52" s="42"/>
      <c r="U52" s="179" t="str" cm="1">
        <f t="array" ref="U52">IF(C52="",INDEX(C48:C52,MATCH(TRUE,INDEX((C48:C52&lt;&gt;""),0),0)),C52)</f>
        <v>Britoil 65</v>
      </c>
      <c r="V52" s="180">
        <f t="shared" si="3"/>
        <v>0.77146063213016647</v>
      </c>
      <c r="W52" s="180">
        <v>16000</v>
      </c>
      <c r="X52" s="180"/>
      <c r="Y52" s="180">
        <f t="shared" si="4"/>
        <v>16500</v>
      </c>
      <c r="Z52" s="181"/>
      <c r="AB52" s="8" t="s">
        <v>40</v>
      </c>
      <c r="AC52" s="120">
        <v>6866</v>
      </c>
      <c r="AD52" s="8">
        <v>90.5</v>
      </c>
      <c r="AE52" s="8" t="s">
        <v>231</v>
      </c>
      <c r="AF52" s="8">
        <v>13.2</v>
      </c>
      <c r="AG52" s="8">
        <v>0.91252324699999998</v>
      </c>
      <c r="AH52" s="8">
        <f t="shared" si="9"/>
        <v>20979.444444444445</v>
      </c>
    </row>
    <row r="53" spans="1:34" ht="25" customHeight="1" outlineLevel="1" x14ac:dyDescent="0.35">
      <c r="B53" s="126"/>
      <c r="C53" s="126"/>
      <c r="D53" s="126"/>
      <c r="E53" s="4" t="s">
        <v>14</v>
      </c>
      <c r="F53" s="31" t="s">
        <v>21</v>
      </c>
      <c r="G53" s="35"/>
      <c r="H53" s="57" t="str">
        <f t="shared" si="6"/>
        <v/>
      </c>
      <c r="I53" s="57" t="str">
        <f t="shared" si="7"/>
        <v/>
      </c>
      <c r="J53" s="58" t="str">
        <f t="shared" si="8"/>
        <v/>
      </c>
      <c r="K53" s="3"/>
      <c r="L53" s="43"/>
      <c r="U53" s="179" t="str" cm="1">
        <f t="array" ref="U53">IF(C53="",INDEX(C49:C53,MATCH(TRUE,INDEX((C49:C53&lt;&gt;""),0),0)),C53)</f>
        <v>Britoil 65</v>
      </c>
      <c r="V53" s="180">
        <f t="shared" si="3"/>
        <v>0.77146063213016647</v>
      </c>
      <c r="W53" s="180">
        <v>16000</v>
      </c>
      <c r="X53" s="180"/>
      <c r="Y53" s="180">
        <f t="shared" si="4"/>
        <v>16500</v>
      </c>
      <c r="Z53" s="181"/>
      <c r="AB53" s="8" t="s">
        <v>42</v>
      </c>
      <c r="AC53" s="120">
        <v>7000</v>
      </c>
      <c r="AD53" s="8">
        <v>90</v>
      </c>
      <c r="AE53" s="8" t="s">
        <v>232</v>
      </c>
      <c r="AF53" s="8">
        <v>12.9</v>
      </c>
      <c r="AG53" s="8">
        <v>0.89010988999999996</v>
      </c>
      <c r="AH53" s="8">
        <f t="shared" si="9"/>
        <v>21388.888888888891</v>
      </c>
    </row>
    <row r="54" spans="1:34" ht="30" customHeight="1" x14ac:dyDescent="0.35">
      <c r="B54" s="121">
        <v>10</v>
      </c>
      <c r="C54" s="121" t="s">
        <v>25</v>
      </c>
      <c r="D54" s="121" t="s">
        <v>12</v>
      </c>
      <c r="E54" s="27" t="s">
        <v>106</v>
      </c>
      <c r="F54" s="32"/>
      <c r="G54" s="36"/>
      <c r="H54" s="59" t="str">
        <f t="shared" si="6"/>
        <v/>
      </c>
      <c r="I54" s="59" t="str">
        <f t="shared" si="7"/>
        <v/>
      </c>
      <c r="J54" s="60" t="str">
        <f t="shared" si="8"/>
        <v/>
      </c>
      <c r="K54" s="5"/>
      <c r="L54" s="44"/>
      <c r="U54" s="179" t="str" cm="1">
        <f t="array" ref="U54">IF(C54="",INDEX(C50:C54,MATCH(TRUE,INDEX((C50:C54&lt;&gt;""),0),0)),C54)</f>
        <v>Britoil 66</v>
      </c>
      <c r="V54" s="180">
        <f t="shared" si="3"/>
        <v>0.77146063213016647</v>
      </c>
      <c r="W54" s="180">
        <v>16000</v>
      </c>
      <c r="X54" s="180"/>
      <c r="Y54" s="180">
        <f t="shared" si="4"/>
        <v>16500</v>
      </c>
      <c r="Z54" s="181"/>
      <c r="AB54" s="8" t="s">
        <v>43</v>
      </c>
      <c r="AC54" s="120">
        <v>6866</v>
      </c>
      <c r="AD54" s="8">
        <v>90.2</v>
      </c>
      <c r="AE54" s="8" t="s">
        <v>231</v>
      </c>
      <c r="AF54" s="8">
        <v>13.1</v>
      </c>
      <c r="AG54" s="8">
        <v>0.90949830799999998</v>
      </c>
      <c r="AH54" s="8">
        <f t="shared" si="9"/>
        <v>20979.444444444445</v>
      </c>
    </row>
    <row r="55" spans="1:34" ht="25" customHeight="1" outlineLevel="1" x14ac:dyDescent="0.35">
      <c r="B55" s="122"/>
      <c r="C55" s="122"/>
      <c r="D55" s="122"/>
      <c r="E55" s="6" t="s">
        <v>13</v>
      </c>
      <c r="F55" s="32" t="s">
        <v>17</v>
      </c>
      <c r="G55" s="37"/>
      <c r="H55" s="61">
        <f t="shared" si="6"/>
        <v>9257.5275855619984</v>
      </c>
      <c r="I55" s="61">
        <f t="shared" si="7"/>
        <v>2468.6740228165327</v>
      </c>
      <c r="J55" s="62">
        <f t="shared" si="8"/>
        <v>49.373480456330654</v>
      </c>
      <c r="K55" s="6"/>
      <c r="L55" s="45"/>
      <c r="U55" s="179" t="str" cm="1">
        <f t="array" ref="U55">IF(C55="",INDEX(C52:C55,MATCH(TRUE,INDEX((C52:C55&lt;&gt;""),0),0)),C55)</f>
        <v>Britoil 66</v>
      </c>
      <c r="V55" s="180">
        <f t="shared" si="3"/>
        <v>0.77146063213016647</v>
      </c>
      <c r="W55" s="180">
        <v>16000</v>
      </c>
      <c r="X55" s="180"/>
      <c r="Y55" s="180">
        <f t="shared" si="4"/>
        <v>16500</v>
      </c>
      <c r="Z55" s="181"/>
      <c r="AB55" s="8" t="s">
        <v>94</v>
      </c>
      <c r="AC55" s="120">
        <v>8000</v>
      </c>
      <c r="AD55" s="8">
        <v>116</v>
      </c>
      <c r="AE55" s="8" t="s">
        <v>233</v>
      </c>
      <c r="AF55" s="8">
        <v>14.5</v>
      </c>
      <c r="AG55" s="8">
        <v>1.0038461540000001</v>
      </c>
      <c r="AH55" s="8">
        <f t="shared" si="9"/>
        <v>24444.444444444445</v>
      </c>
    </row>
    <row r="56" spans="1:34" ht="25" customHeight="1" outlineLevel="1" x14ac:dyDescent="0.35">
      <c r="B56" s="122"/>
      <c r="C56" s="122"/>
      <c r="D56" s="122"/>
      <c r="E56" s="6" t="s">
        <v>113</v>
      </c>
      <c r="F56" s="32"/>
      <c r="G56" s="37"/>
      <c r="H56" s="61" t="str">
        <f t="shared" si="6"/>
        <v/>
      </c>
      <c r="I56" s="61" t="str">
        <f t="shared" si="7"/>
        <v/>
      </c>
      <c r="J56" s="62" t="str">
        <f t="shared" si="8"/>
        <v/>
      </c>
      <c r="K56" s="6"/>
      <c r="L56" s="45"/>
      <c r="U56" s="179" t="str" cm="1">
        <f t="array" ref="U56">IF(C56="",INDEX(C53:C56,MATCH(TRUE,INDEX((C53:C56&lt;&gt;""),0),0)),C56)</f>
        <v>Britoil 66</v>
      </c>
      <c r="V56" s="180">
        <f t="shared" si="3"/>
        <v>0.77146063213016647</v>
      </c>
      <c r="W56" s="180">
        <v>16000</v>
      </c>
      <c r="X56" s="180"/>
      <c r="Y56" s="180">
        <f t="shared" si="4"/>
        <v>16500</v>
      </c>
      <c r="Z56" s="181"/>
      <c r="AB56" s="8" t="s">
        <v>46</v>
      </c>
      <c r="AC56" s="120">
        <v>5150</v>
      </c>
      <c r="AD56" s="8">
        <v>65</v>
      </c>
      <c r="AE56" s="8" t="s">
        <v>234</v>
      </c>
      <c r="AF56" s="8">
        <v>12.6</v>
      </c>
      <c r="AG56" s="8">
        <v>0.87378640799999996</v>
      </c>
      <c r="AH56" s="8">
        <f t="shared" si="9"/>
        <v>15736.111111111111</v>
      </c>
    </row>
    <row r="57" spans="1:34" ht="25" customHeight="1" outlineLevel="1" x14ac:dyDescent="0.35">
      <c r="B57" s="122"/>
      <c r="C57" s="122"/>
      <c r="D57" s="122"/>
      <c r="E57" s="6" t="s">
        <v>110</v>
      </c>
      <c r="F57" s="32"/>
      <c r="G57" s="37"/>
      <c r="H57" s="61" t="str">
        <f t="shared" si="6"/>
        <v/>
      </c>
      <c r="I57" s="61" t="str">
        <f t="shared" si="7"/>
        <v/>
      </c>
      <c r="J57" s="62" t="str">
        <f t="shared" si="8"/>
        <v/>
      </c>
      <c r="K57" s="6"/>
      <c r="L57" s="45"/>
      <c r="U57" s="179" t="str" cm="1">
        <f t="array" ref="U57">IF(C57="",INDEX(C53:C57,MATCH(TRUE,INDEX((C53:C57&lt;&gt;""),0),0)),C57)</f>
        <v>Britoil 66</v>
      </c>
      <c r="V57" s="180">
        <f t="shared" si="3"/>
        <v>0.77146063213016647</v>
      </c>
      <c r="W57" s="180">
        <v>16000</v>
      </c>
      <c r="X57" s="180"/>
      <c r="Y57" s="180">
        <f t="shared" si="4"/>
        <v>16500</v>
      </c>
      <c r="Z57" s="181"/>
      <c r="AB57" s="8" t="s">
        <v>47</v>
      </c>
      <c r="AC57" s="120">
        <v>5150</v>
      </c>
      <c r="AD57" s="8">
        <v>66</v>
      </c>
      <c r="AE57" s="8" t="s">
        <v>234</v>
      </c>
      <c r="AF57" s="8">
        <v>12.8</v>
      </c>
      <c r="AG57" s="8">
        <v>0.88722927600000001</v>
      </c>
      <c r="AH57" s="8">
        <f t="shared" si="9"/>
        <v>15736.111111111111</v>
      </c>
    </row>
    <row r="58" spans="1:34" ht="25" customHeight="1" outlineLevel="1" x14ac:dyDescent="0.35">
      <c r="B58" s="123"/>
      <c r="C58" s="123"/>
      <c r="D58" s="123"/>
      <c r="E58" s="7" t="s">
        <v>14</v>
      </c>
      <c r="F58" s="32" t="s">
        <v>109</v>
      </c>
      <c r="G58" s="38"/>
      <c r="H58" s="63" t="str">
        <f t="shared" si="6"/>
        <v/>
      </c>
      <c r="I58" s="63" t="str">
        <f t="shared" si="7"/>
        <v/>
      </c>
      <c r="J58" s="64" t="str">
        <f t="shared" si="8"/>
        <v/>
      </c>
      <c r="K58" s="7"/>
      <c r="L58" s="46"/>
      <c r="U58" s="179" t="str" cm="1">
        <f t="array" ref="U58">IF(C58="",INDEX(C54:C58,MATCH(TRUE,INDEX((C54:C58&lt;&gt;""),0),0)),C58)</f>
        <v>Britoil 66</v>
      </c>
      <c r="V58" s="180">
        <f t="shared" si="3"/>
        <v>0.77146063213016647</v>
      </c>
      <c r="W58" s="180">
        <v>16000</v>
      </c>
      <c r="X58" s="180"/>
      <c r="Y58" s="180">
        <f t="shared" si="4"/>
        <v>16500</v>
      </c>
      <c r="Z58" s="181"/>
      <c r="AB58" s="8" t="s">
        <v>48</v>
      </c>
      <c r="AC58" s="120">
        <v>5150</v>
      </c>
      <c r="AD58" s="8">
        <v>65</v>
      </c>
      <c r="AE58" s="8" t="s">
        <v>234</v>
      </c>
      <c r="AF58" s="8">
        <v>12.6</v>
      </c>
      <c r="AG58" s="8">
        <v>0.87378640799999996</v>
      </c>
      <c r="AH58" s="8">
        <f t="shared" si="9"/>
        <v>15736.111111111111</v>
      </c>
    </row>
    <row r="59" spans="1:34" ht="30" customHeight="1" x14ac:dyDescent="0.35">
      <c r="A59" s="8" t="s">
        <v>140</v>
      </c>
      <c r="B59" s="124">
        <v>11</v>
      </c>
      <c r="C59" s="124" t="s">
        <v>26</v>
      </c>
      <c r="D59" s="124" t="s">
        <v>12</v>
      </c>
      <c r="E59" s="26" t="s">
        <v>106</v>
      </c>
      <c r="F59" s="31"/>
      <c r="G59" s="35"/>
      <c r="H59" s="57" t="str">
        <f t="shared" si="6"/>
        <v/>
      </c>
      <c r="I59" s="57" t="str">
        <f t="shared" si="7"/>
        <v/>
      </c>
      <c r="J59" s="58" t="str">
        <f t="shared" si="8"/>
        <v/>
      </c>
      <c r="K59" s="124" t="s">
        <v>174</v>
      </c>
      <c r="L59" s="41"/>
      <c r="U59" s="179" t="str" cm="1">
        <f t="array" ref="U59">IF(C59="",INDEX(C55:C59,MATCH(TRUE,INDEX((C55:C59&lt;&gt;""),0),0)),C59)</f>
        <v>Britoil 67</v>
      </c>
      <c r="V59" s="180">
        <f t="shared" si="3"/>
        <v>0.77146063213016647</v>
      </c>
      <c r="W59" s="180">
        <v>16000</v>
      </c>
      <c r="X59" s="180"/>
      <c r="Y59" s="180">
        <f t="shared" si="4"/>
        <v>16500</v>
      </c>
      <c r="Z59" s="181"/>
      <c r="AB59" s="8" t="s">
        <v>50</v>
      </c>
      <c r="AC59" s="120">
        <v>5150</v>
      </c>
      <c r="AD59" s="8">
        <v>70</v>
      </c>
      <c r="AE59" s="8" t="s">
        <v>234</v>
      </c>
      <c r="AF59" s="8">
        <v>13.6</v>
      </c>
      <c r="AG59" s="8">
        <v>0.94100074700000003</v>
      </c>
      <c r="AH59" s="8">
        <f t="shared" si="9"/>
        <v>15736.111111111111</v>
      </c>
    </row>
    <row r="60" spans="1:34" ht="25" customHeight="1" outlineLevel="1" x14ac:dyDescent="0.35">
      <c r="B60" s="125"/>
      <c r="C60" s="125"/>
      <c r="D60" s="125"/>
      <c r="E60" s="3" t="s">
        <v>13</v>
      </c>
      <c r="F60" s="31" t="s">
        <v>17</v>
      </c>
      <c r="G60" s="35"/>
      <c r="H60" s="57">
        <f t="shared" si="6"/>
        <v>9257.5275855619984</v>
      </c>
      <c r="I60" s="57">
        <f t="shared" si="7"/>
        <v>2468.6740228165327</v>
      </c>
      <c r="J60" s="58">
        <f t="shared" si="8"/>
        <v>49.373480456330654</v>
      </c>
      <c r="K60" s="125"/>
      <c r="L60" s="42" t="s">
        <v>175</v>
      </c>
      <c r="U60" s="179" t="str" cm="1">
        <f t="array" ref="U60">IF(C60="",INDEX(C57:C60,MATCH(TRUE,INDEX((C57:C60&lt;&gt;""),0),0)),C60)</f>
        <v>Britoil 67</v>
      </c>
      <c r="V60" s="180">
        <f t="shared" si="3"/>
        <v>0.77146063213016647</v>
      </c>
      <c r="W60" s="180">
        <v>16000</v>
      </c>
      <c r="X60" s="180"/>
      <c r="Y60" s="180">
        <f t="shared" si="4"/>
        <v>16500</v>
      </c>
      <c r="Z60" s="181"/>
      <c r="AB60" s="8" t="s">
        <v>51</v>
      </c>
      <c r="AC60" s="120">
        <v>6500</v>
      </c>
      <c r="AD60" s="8">
        <v>88</v>
      </c>
      <c r="AE60" s="8" t="s">
        <v>235</v>
      </c>
      <c r="AF60" s="8">
        <v>13.5</v>
      </c>
      <c r="AG60" s="8">
        <v>0.93727810700000003</v>
      </c>
      <c r="AH60" s="8">
        <f t="shared" si="9"/>
        <v>19861.111111111109</v>
      </c>
    </row>
    <row r="61" spans="1:34" ht="25" customHeight="1" outlineLevel="1" x14ac:dyDescent="0.35">
      <c r="B61" s="125"/>
      <c r="C61" s="125"/>
      <c r="D61" s="125"/>
      <c r="E61" s="3" t="s">
        <v>113</v>
      </c>
      <c r="F61" s="31" t="s">
        <v>21</v>
      </c>
      <c r="G61" s="35"/>
      <c r="H61" s="57" t="str">
        <f t="shared" si="6"/>
        <v/>
      </c>
      <c r="I61" s="57" t="str">
        <f t="shared" si="7"/>
        <v/>
      </c>
      <c r="J61" s="58" t="str">
        <f t="shared" si="8"/>
        <v/>
      </c>
      <c r="K61" s="125"/>
      <c r="L61" s="42"/>
      <c r="U61" s="179" t="str" cm="1">
        <f t="array" ref="U61">IF(C61="",INDEX(C58:C61,MATCH(TRUE,INDEX((C58:C61&lt;&gt;""),0),0)),C61)</f>
        <v>Britoil 67</v>
      </c>
      <c r="V61" s="180">
        <f t="shared" si="3"/>
        <v>0.77146063213016647</v>
      </c>
      <c r="W61" s="180">
        <v>16000</v>
      </c>
      <c r="X61" s="180"/>
      <c r="Y61" s="180">
        <f t="shared" si="4"/>
        <v>16500</v>
      </c>
      <c r="Z61" s="181"/>
      <c r="AB61" s="8" t="s">
        <v>53</v>
      </c>
      <c r="AC61" s="120">
        <v>6500</v>
      </c>
      <c r="AD61" s="8">
        <v>85</v>
      </c>
      <c r="AE61" s="8" t="s">
        <v>235</v>
      </c>
      <c r="AF61" s="8">
        <v>13.1</v>
      </c>
      <c r="AG61" s="8">
        <v>0.90532544400000003</v>
      </c>
      <c r="AH61" s="8">
        <f t="shared" si="9"/>
        <v>19861.111111111109</v>
      </c>
    </row>
    <row r="62" spans="1:34" ht="25" customHeight="1" outlineLevel="1" x14ac:dyDescent="0.35">
      <c r="B62" s="125"/>
      <c r="C62" s="125"/>
      <c r="D62" s="125"/>
      <c r="E62" s="3" t="s">
        <v>110</v>
      </c>
      <c r="F62" s="31" t="s">
        <v>21</v>
      </c>
      <c r="G62" s="35"/>
      <c r="H62" s="57" t="str">
        <f t="shared" si="6"/>
        <v/>
      </c>
      <c r="I62" s="57" t="str">
        <f t="shared" si="7"/>
        <v/>
      </c>
      <c r="J62" s="58" t="str">
        <f t="shared" si="8"/>
        <v/>
      </c>
      <c r="K62" s="125"/>
      <c r="L62" s="42"/>
      <c r="U62" s="179" t="str" cm="1">
        <f t="array" ref="U62">IF(C62="",INDEX(C59:C62,MATCH(TRUE,INDEX((C59:C62&lt;&gt;""),0),0)),C62)</f>
        <v>Britoil 67</v>
      </c>
      <c r="V62" s="180">
        <f t="shared" si="3"/>
        <v>0.77146063213016647</v>
      </c>
      <c r="W62" s="180">
        <v>16000</v>
      </c>
      <c r="X62" s="180"/>
      <c r="Y62" s="180">
        <f t="shared" si="4"/>
        <v>16500</v>
      </c>
      <c r="Z62" s="181"/>
      <c r="AB62" s="8" t="s">
        <v>54</v>
      </c>
      <c r="AC62" s="120">
        <v>5150</v>
      </c>
      <c r="AD62" s="8">
        <v>65</v>
      </c>
      <c r="AE62" s="8" t="s">
        <v>234</v>
      </c>
      <c r="AF62" s="8">
        <v>12.6</v>
      </c>
      <c r="AG62" s="8">
        <v>0.87378640799999996</v>
      </c>
      <c r="AH62" s="8">
        <f t="shared" si="9"/>
        <v>15736.111111111111</v>
      </c>
    </row>
    <row r="63" spans="1:34" ht="25" customHeight="1" outlineLevel="1" x14ac:dyDescent="0.35">
      <c r="B63" s="126"/>
      <c r="C63" s="126"/>
      <c r="D63" s="126"/>
      <c r="E63" s="4" t="s">
        <v>14</v>
      </c>
      <c r="F63" s="31" t="s">
        <v>109</v>
      </c>
      <c r="G63" s="35"/>
      <c r="H63" s="57" t="str">
        <f t="shared" si="6"/>
        <v/>
      </c>
      <c r="I63" s="57" t="str">
        <f t="shared" si="7"/>
        <v/>
      </c>
      <c r="J63" s="58" t="str">
        <f t="shared" si="8"/>
        <v/>
      </c>
      <c r="K63" s="126"/>
      <c r="L63" s="43"/>
      <c r="U63" s="179" t="str" cm="1">
        <f t="array" ref="U63">IF(C63="",INDEX(C59:C63,MATCH(TRUE,INDEX((C59:C63&lt;&gt;""),0),0)),C63)</f>
        <v>Britoil 67</v>
      </c>
      <c r="V63" s="180">
        <f t="shared" si="3"/>
        <v>0.77146063213016647</v>
      </c>
      <c r="W63" s="180">
        <v>16000</v>
      </c>
      <c r="X63" s="180"/>
      <c r="Y63" s="180">
        <f t="shared" si="4"/>
        <v>16500</v>
      </c>
      <c r="Z63" s="181"/>
      <c r="AB63" s="8" t="s">
        <v>56</v>
      </c>
      <c r="AC63" s="120">
        <v>5150</v>
      </c>
      <c r="AD63" s="8">
        <v>65.3</v>
      </c>
      <c r="AE63" s="8" t="s">
        <v>234</v>
      </c>
      <c r="AF63" s="8">
        <v>12.7</v>
      </c>
      <c r="AG63" s="8">
        <v>0.87781926799999999</v>
      </c>
      <c r="AH63" s="8">
        <f t="shared" si="9"/>
        <v>15736.111111111111</v>
      </c>
    </row>
    <row r="64" spans="1:34" ht="30" customHeight="1" x14ac:dyDescent="0.35">
      <c r="A64" s="8" t="s">
        <v>140</v>
      </c>
      <c r="B64" s="121">
        <v>12</v>
      </c>
      <c r="C64" s="121" t="s">
        <v>27</v>
      </c>
      <c r="D64" s="121" t="s">
        <v>12</v>
      </c>
      <c r="E64" s="27" t="s">
        <v>106</v>
      </c>
      <c r="F64" s="32"/>
      <c r="G64" s="36"/>
      <c r="H64" s="59" t="str">
        <f t="shared" si="6"/>
        <v/>
      </c>
      <c r="I64" s="59" t="str">
        <f t="shared" si="7"/>
        <v/>
      </c>
      <c r="J64" s="60" t="str">
        <f t="shared" si="8"/>
        <v/>
      </c>
      <c r="K64" s="121" t="s">
        <v>155</v>
      </c>
      <c r="L64" s="44"/>
      <c r="U64" s="179" t="str" cm="1">
        <f t="array" ref="U64">IF(C64="",INDEX(C60:C64,MATCH(TRUE,INDEX((C60:C64&lt;&gt;""),0),0)),C64)</f>
        <v>Britoil 70</v>
      </c>
      <c r="V64" s="180">
        <f t="shared" si="3"/>
        <v>1.0308584252852067</v>
      </c>
      <c r="W64" s="180">
        <v>20000</v>
      </c>
      <c r="X64" s="180"/>
      <c r="Y64" s="180">
        <f t="shared" si="4"/>
        <v>22048</v>
      </c>
      <c r="Z64" s="181"/>
      <c r="AB64" s="8" t="s">
        <v>57</v>
      </c>
      <c r="AC64" s="120">
        <v>5150</v>
      </c>
      <c r="AD64" s="8">
        <v>69.2</v>
      </c>
      <c r="AE64" s="8" t="s">
        <v>234</v>
      </c>
      <c r="AF64" s="8">
        <v>13.4</v>
      </c>
      <c r="AG64" s="8">
        <v>0.93024645299999997</v>
      </c>
      <c r="AH64" s="8">
        <f t="shared" si="9"/>
        <v>15736.111111111111</v>
      </c>
    </row>
    <row r="65" spans="1:34" ht="25" customHeight="1" outlineLevel="1" x14ac:dyDescent="0.35">
      <c r="B65" s="122"/>
      <c r="C65" s="122"/>
      <c r="D65" s="122"/>
      <c r="E65" s="6" t="s">
        <v>13</v>
      </c>
      <c r="F65" s="32" t="s">
        <v>17</v>
      </c>
      <c r="G65" s="37"/>
      <c r="H65" s="61">
        <f t="shared" si="6"/>
        <v>12370.30110342248</v>
      </c>
      <c r="I65" s="61">
        <f t="shared" si="7"/>
        <v>3298.7469609126615</v>
      </c>
      <c r="J65" s="62">
        <f t="shared" si="8"/>
        <v>65.974939218253226</v>
      </c>
      <c r="K65" s="122"/>
      <c r="L65" s="45"/>
      <c r="U65" s="179" t="str" cm="1">
        <f t="array" ref="U65">IF(C65="",INDEX(C61:C65,MATCH(TRUE,INDEX((C61:C65&lt;&gt;""),0),0)),C65)</f>
        <v>Britoil 70</v>
      </c>
      <c r="V65" s="180">
        <f t="shared" si="3"/>
        <v>1.0308584252852067</v>
      </c>
      <c r="W65" s="180">
        <v>20000</v>
      </c>
      <c r="X65" s="180"/>
      <c r="Y65" s="180">
        <f t="shared" si="4"/>
        <v>22048</v>
      </c>
      <c r="Z65" s="181"/>
      <c r="AB65" s="8" t="s">
        <v>58</v>
      </c>
      <c r="AC65" s="120">
        <v>6500</v>
      </c>
      <c r="AD65" s="8">
        <v>92</v>
      </c>
      <c r="AE65" s="8" t="s">
        <v>236</v>
      </c>
      <c r="AF65" s="8">
        <v>14.2</v>
      </c>
      <c r="AG65" s="8">
        <v>0.97988165699999996</v>
      </c>
      <c r="AH65" s="8">
        <f t="shared" si="9"/>
        <v>19861.111111111109</v>
      </c>
    </row>
    <row r="66" spans="1:34" ht="25" customHeight="1" outlineLevel="1" x14ac:dyDescent="0.35">
      <c r="B66" s="122"/>
      <c r="C66" s="122"/>
      <c r="D66" s="122"/>
      <c r="E66" s="6" t="s">
        <v>113</v>
      </c>
      <c r="F66" s="32" t="s">
        <v>21</v>
      </c>
      <c r="G66" s="37"/>
      <c r="H66" s="61" t="str">
        <f t="shared" si="6"/>
        <v/>
      </c>
      <c r="I66" s="61" t="str">
        <f t="shared" si="7"/>
        <v/>
      </c>
      <c r="J66" s="62" t="str">
        <f t="shared" si="8"/>
        <v/>
      </c>
      <c r="K66" s="122"/>
      <c r="L66" s="45" t="s">
        <v>151</v>
      </c>
      <c r="U66" s="179" t="str" cm="1">
        <f t="array" ref="U66">IF(C66="",INDEX(C62:C66,MATCH(TRUE,INDEX((C62:C66&lt;&gt;""),0),0)),C66)</f>
        <v>Britoil 70</v>
      </c>
      <c r="V66" s="180">
        <f t="shared" si="3"/>
        <v>1.0308584252852067</v>
      </c>
      <c r="W66" s="180">
        <v>20000</v>
      </c>
      <c r="X66" s="180"/>
      <c r="Y66" s="180">
        <f t="shared" si="4"/>
        <v>22048</v>
      </c>
      <c r="Z66" s="181"/>
      <c r="AB66" s="8" t="s">
        <v>60</v>
      </c>
      <c r="AC66" s="120">
        <v>6500</v>
      </c>
      <c r="AD66" s="8">
        <v>87.3</v>
      </c>
      <c r="AE66" s="8" t="s">
        <v>236</v>
      </c>
      <c r="AF66" s="8">
        <v>13.4</v>
      </c>
      <c r="AG66" s="8">
        <v>0.92982248499999998</v>
      </c>
      <c r="AH66" s="8">
        <f t="shared" si="9"/>
        <v>19861.111111111109</v>
      </c>
    </row>
    <row r="67" spans="1:34" ht="25" customHeight="1" outlineLevel="1" x14ac:dyDescent="0.35">
      <c r="B67" s="122"/>
      <c r="C67" s="122"/>
      <c r="D67" s="122"/>
      <c r="E67" s="6" t="s">
        <v>110</v>
      </c>
      <c r="F67" s="32" t="s">
        <v>17</v>
      </c>
      <c r="G67" s="37"/>
      <c r="H67" s="61">
        <f t="shared" si="6"/>
        <v>8556.1249298672155</v>
      </c>
      <c r="I67" s="61">
        <f t="shared" si="7"/>
        <v>1030.8584252852067</v>
      </c>
      <c r="J67" s="62">
        <f t="shared" si="8"/>
        <v>46.3886291378343</v>
      </c>
      <c r="K67" s="122"/>
      <c r="L67" s="45" t="s">
        <v>156</v>
      </c>
      <c r="U67" s="179" t="str" cm="1">
        <f t="array" ref="U67">IF(C67="",INDEX(C63:C67,MATCH(TRUE,INDEX((C63:C67&lt;&gt;""),0),0)),C67)</f>
        <v>Britoil 70</v>
      </c>
      <c r="V67" s="180">
        <f t="shared" si="3"/>
        <v>1.0308584252852067</v>
      </c>
      <c r="W67" s="180">
        <v>20000</v>
      </c>
      <c r="X67" s="180"/>
      <c r="Y67" s="180">
        <f t="shared" si="4"/>
        <v>22048</v>
      </c>
      <c r="Z67" s="181"/>
      <c r="AB67" s="8" t="s">
        <v>61</v>
      </c>
      <c r="AC67" s="120">
        <v>5150</v>
      </c>
      <c r="AD67" s="8">
        <v>68.400000000000006</v>
      </c>
      <c r="AE67" s="8" t="s">
        <v>234</v>
      </c>
      <c r="AF67" s="8">
        <v>13.3</v>
      </c>
      <c r="AG67" s="8">
        <v>0.91949215799999995</v>
      </c>
      <c r="AH67" s="8">
        <f t="shared" si="9"/>
        <v>15736.111111111111</v>
      </c>
    </row>
    <row r="68" spans="1:34" ht="25" customHeight="1" outlineLevel="1" x14ac:dyDescent="0.35">
      <c r="B68" s="123"/>
      <c r="C68" s="123"/>
      <c r="D68" s="123"/>
      <c r="E68" s="7" t="s">
        <v>14</v>
      </c>
      <c r="F68" s="32" t="s">
        <v>21</v>
      </c>
      <c r="G68" s="38"/>
      <c r="H68" s="63" t="str">
        <f t="shared" si="6"/>
        <v/>
      </c>
      <c r="I68" s="63" t="str">
        <f t="shared" si="7"/>
        <v/>
      </c>
      <c r="J68" s="64" t="str">
        <f t="shared" si="8"/>
        <v/>
      </c>
      <c r="K68" s="123"/>
      <c r="L68" s="46"/>
      <c r="U68" s="179" t="str" cm="1">
        <f t="array" ref="U68">IF(C68="",INDEX(C64:C68,MATCH(TRUE,INDEX((C64:C68&lt;&gt;""),0),0)),C68)</f>
        <v>Britoil 70</v>
      </c>
      <c r="V68" s="180">
        <f t="shared" si="3"/>
        <v>1.0308584252852067</v>
      </c>
      <c r="W68" s="180">
        <v>20000</v>
      </c>
      <c r="X68" s="180"/>
      <c r="Y68" s="180">
        <f t="shared" si="4"/>
        <v>22048</v>
      </c>
      <c r="Z68" s="181"/>
      <c r="AB68" s="8" t="s">
        <v>63</v>
      </c>
      <c r="AC68" s="120">
        <v>5150</v>
      </c>
      <c r="AD68" s="8">
        <v>66.3</v>
      </c>
      <c r="AE68" s="8" t="s">
        <v>234</v>
      </c>
      <c r="AF68" s="8">
        <v>12.9</v>
      </c>
      <c r="AG68" s="8">
        <v>0.89126213600000004</v>
      </c>
      <c r="AH68" s="8">
        <f t="shared" si="9"/>
        <v>15736.111111111111</v>
      </c>
    </row>
    <row r="69" spans="1:34" ht="30" customHeight="1" x14ac:dyDescent="0.35">
      <c r="B69" s="124">
        <v>13</v>
      </c>
      <c r="C69" s="124" t="s">
        <v>28</v>
      </c>
      <c r="D69" s="124" t="s">
        <v>12</v>
      </c>
      <c r="E69" s="26" t="s">
        <v>106</v>
      </c>
      <c r="F69" s="31"/>
      <c r="G69" s="35"/>
      <c r="H69" s="57" t="str">
        <f t="shared" si="6"/>
        <v/>
      </c>
      <c r="I69" s="57" t="str">
        <f t="shared" si="7"/>
        <v/>
      </c>
      <c r="J69" s="58" t="str">
        <f t="shared" si="8"/>
        <v/>
      </c>
      <c r="K69" s="3"/>
      <c r="L69" s="41"/>
      <c r="U69" s="179" t="str" cm="1">
        <f t="array" ref="U69">IF(C69="",INDEX(C65:C69,MATCH(TRUE,INDEX((C65:C69&lt;&gt;""),0),0)),C69)</f>
        <v>Britoil 71</v>
      </c>
      <c r="V69" s="180">
        <f t="shared" si="3"/>
        <v>1.0308584252852067</v>
      </c>
      <c r="W69" s="180">
        <v>20000</v>
      </c>
      <c r="X69" s="180"/>
      <c r="Y69" s="180">
        <f t="shared" si="4"/>
        <v>22048</v>
      </c>
      <c r="Z69" s="181"/>
      <c r="AB69" s="8" t="s">
        <v>65</v>
      </c>
      <c r="AC69" s="120">
        <v>5150</v>
      </c>
      <c r="AD69" s="8">
        <v>69.5</v>
      </c>
      <c r="AE69" s="8" t="s">
        <v>234</v>
      </c>
      <c r="AF69" s="8">
        <v>13.5</v>
      </c>
      <c r="AG69" s="8">
        <v>0.934279313</v>
      </c>
      <c r="AH69" s="8">
        <f t="shared" si="9"/>
        <v>15736.111111111111</v>
      </c>
    </row>
    <row r="70" spans="1:34" ht="25" customHeight="1" outlineLevel="1" x14ac:dyDescent="0.35">
      <c r="B70" s="125"/>
      <c r="C70" s="125"/>
      <c r="D70" s="125"/>
      <c r="E70" s="3" t="s">
        <v>13</v>
      </c>
      <c r="F70" s="31" t="s">
        <v>17</v>
      </c>
      <c r="G70" s="35"/>
      <c r="H70" s="57">
        <f t="shared" si="6"/>
        <v>12370.30110342248</v>
      </c>
      <c r="I70" s="57">
        <f t="shared" si="7"/>
        <v>3298.7469609126615</v>
      </c>
      <c r="J70" s="58">
        <f t="shared" si="8"/>
        <v>65.974939218253226</v>
      </c>
      <c r="K70" s="3"/>
      <c r="L70" s="42"/>
      <c r="U70" s="179" t="str" cm="1">
        <f t="array" ref="U70">IF(C70="",INDEX(C66:C70,MATCH(TRUE,INDEX((C66:C70&lt;&gt;""),0),0)),C70)</f>
        <v>Britoil 71</v>
      </c>
      <c r="V70" s="180">
        <f t="shared" si="3"/>
        <v>1.0308584252852067</v>
      </c>
      <c r="W70" s="180">
        <v>20000</v>
      </c>
      <c r="X70" s="180"/>
      <c r="Y70" s="180">
        <f t="shared" si="4"/>
        <v>22048</v>
      </c>
      <c r="Z70" s="181"/>
      <c r="AB70" s="8" t="s">
        <v>66</v>
      </c>
      <c r="AC70" s="120">
        <v>5150</v>
      </c>
      <c r="AD70" s="8">
        <v>69.099999999999994</v>
      </c>
      <c r="AE70" s="8" t="s">
        <v>234</v>
      </c>
      <c r="AF70" s="8">
        <v>13.4</v>
      </c>
      <c r="AG70" s="8">
        <v>0.92890216599999997</v>
      </c>
      <c r="AH70" s="8">
        <f t="shared" si="9"/>
        <v>15736.111111111111</v>
      </c>
    </row>
    <row r="71" spans="1:34" ht="25" customHeight="1" outlineLevel="1" x14ac:dyDescent="0.35">
      <c r="B71" s="125"/>
      <c r="C71" s="125"/>
      <c r="D71" s="125"/>
      <c r="E71" s="3" t="s">
        <v>113</v>
      </c>
      <c r="F71" s="31"/>
      <c r="G71" s="35"/>
      <c r="H71" s="57" t="str">
        <f t="shared" si="6"/>
        <v/>
      </c>
      <c r="I71" s="57" t="str">
        <f t="shared" si="7"/>
        <v/>
      </c>
      <c r="J71" s="58" t="str">
        <f t="shared" si="8"/>
        <v/>
      </c>
      <c r="K71" s="3"/>
      <c r="L71" s="42"/>
      <c r="U71" s="179" t="str" cm="1">
        <f t="array" ref="U71">IF(C71="",INDEX(C67:C71,MATCH(TRUE,INDEX((C67:C71&lt;&gt;""),0),0)),C71)</f>
        <v>Britoil 71</v>
      </c>
      <c r="V71" s="180">
        <f t="shared" si="3"/>
        <v>1.0308584252852067</v>
      </c>
      <c r="W71" s="180">
        <v>20000</v>
      </c>
      <c r="X71" s="180"/>
      <c r="Y71" s="180">
        <f t="shared" si="4"/>
        <v>22048</v>
      </c>
      <c r="Z71" s="181"/>
      <c r="AB71" s="8" t="s">
        <v>67</v>
      </c>
      <c r="AC71" s="120">
        <v>5150</v>
      </c>
      <c r="AD71" s="8">
        <v>69.900000000000006</v>
      </c>
      <c r="AE71" s="8" t="s">
        <v>234</v>
      </c>
      <c r="AF71" s="8">
        <v>13.6</v>
      </c>
      <c r="AG71" s="8">
        <v>0.93965646000000003</v>
      </c>
      <c r="AH71" s="8">
        <f t="shared" si="9"/>
        <v>15736.111111111111</v>
      </c>
    </row>
    <row r="72" spans="1:34" ht="25" customHeight="1" outlineLevel="1" x14ac:dyDescent="0.35">
      <c r="B72" s="125"/>
      <c r="C72" s="125"/>
      <c r="D72" s="125"/>
      <c r="E72" s="3" t="s">
        <v>110</v>
      </c>
      <c r="F72" s="31"/>
      <c r="G72" s="35"/>
      <c r="H72" s="57" t="str">
        <f t="shared" si="6"/>
        <v/>
      </c>
      <c r="I72" s="57" t="str">
        <f t="shared" si="7"/>
        <v/>
      </c>
      <c r="J72" s="58" t="str">
        <f t="shared" si="8"/>
        <v/>
      </c>
      <c r="K72" s="3"/>
      <c r="L72" s="42"/>
      <c r="U72" s="179" t="str" cm="1">
        <f t="array" ref="U72">IF(C72="",INDEX(C68:C72,MATCH(TRUE,INDEX((C68:C72&lt;&gt;""),0),0)),C72)</f>
        <v>Britoil 71</v>
      </c>
      <c r="V72" s="180">
        <f t="shared" si="3"/>
        <v>1.0308584252852067</v>
      </c>
      <c r="W72" s="180">
        <v>20000</v>
      </c>
      <c r="X72" s="180"/>
      <c r="Y72" s="180">
        <f t="shared" si="4"/>
        <v>22048</v>
      </c>
      <c r="Z72" s="181"/>
      <c r="AB72" s="8" t="s">
        <v>100</v>
      </c>
      <c r="AC72" s="120">
        <v>1971</v>
      </c>
      <c r="AD72" s="8" t="s">
        <v>237</v>
      </c>
      <c r="AE72" s="8" t="s">
        <v>238</v>
      </c>
      <c r="AF72" s="8">
        <v>15</v>
      </c>
      <c r="AG72" s="8">
        <v>1.038461538</v>
      </c>
      <c r="AH72" s="8">
        <f t="shared" si="9"/>
        <v>6022.5</v>
      </c>
    </row>
    <row r="73" spans="1:34" ht="25" customHeight="1" outlineLevel="1" x14ac:dyDescent="0.35">
      <c r="B73" s="126"/>
      <c r="C73" s="126"/>
      <c r="D73" s="126"/>
      <c r="E73" s="4" t="s">
        <v>14</v>
      </c>
      <c r="F73" s="31" t="s">
        <v>21</v>
      </c>
      <c r="G73" s="35"/>
      <c r="H73" s="57" t="str">
        <f t="shared" si="6"/>
        <v/>
      </c>
      <c r="I73" s="57" t="str">
        <f t="shared" si="7"/>
        <v/>
      </c>
      <c r="J73" s="58" t="str">
        <f t="shared" si="8"/>
        <v/>
      </c>
      <c r="K73" s="3"/>
      <c r="L73" s="43"/>
      <c r="U73" s="179" t="str" cm="1">
        <f t="array" ref="U73">IF(C73="",INDEX(C69:C73,MATCH(TRUE,INDEX((C69:C73&lt;&gt;""),0),0)),C73)</f>
        <v>Britoil 71</v>
      </c>
      <c r="V73" s="180">
        <f t="shared" si="3"/>
        <v>1.0308584252852067</v>
      </c>
      <c r="W73" s="180">
        <v>20000</v>
      </c>
      <c r="X73" s="180"/>
      <c r="Y73" s="180">
        <f t="shared" si="4"/>
        <v>22048</v>
      </c>
      <c r="Z73" s="181"/>
      <c r="AB73" s="8" t="s">
        <v>86</v>
      </c>
      <c r="AC73" s="8">
        <v>6866</v>
      </c>
      <c r="AD73" s="8">
        <v>90</v>
      </c>
      <c r="AF73" s="8">
        <v>15</v>
      </c>
      <c r="AG73" s="8">
        <v>1.038461538</v>
      </c>
      <c r="AH73" s="8">
        <f t="shared" si="9"/>
        <v>20979.444444444445</v>
      </c>
    </row>
    <row r="74" spans="1:34" ht="30" customHeight="1" x14ac:dyDescent="0.35">
      <c r="B74" s="121">
        <v>14</v>
      </c>
      <c r="C74" s="121" t="s">
        <v>29</v>
      </c>
      <c r="D74" s="121" t="s">
        <v>12</v>
      </c>
      <c r="E74" s="27" t="s">
        <v>106</v>
      </c>
      <c r="F74" s="32"/>
      <c r="G74" s="36"/>
      <c r="H74" s="59" t="str">
        <f t="shared" si="6"/>
        <v/>
      </c>
      <c r="I74" s="59" t="str">
        <f t="shared" si="7"/>
        <v/>
      </c>
      <c r="J74" s="60" t="str">
        <f t="shared" si="8"/>
        <v/>
      </c>
      <c r="K74" s="5"/>
      <c r="L74" s="44"/>
      <c r="U74" s="179" t="str" cm="1">
        <f t="array" ref="U74">IF(C74="",INDEX(C70:C74,MATCH(TRUE,INDEX((C70:C74&lt;&gt;""),0),0)),C74)</f>
        <v>Britoil 72</v>
      </c>
      <c r="V74" s="180">
        <f t="shared" ref="V74:V137" si="10">MIN(Y74/21388,1.3)</f>
        <v>1.0308584252852067</v>
      </c>
      <c r="W74" s="180">
        <v>20000</v>
      </c>
      <c r="X74" s="180"/>
      <c r="Y74" s="180">
        <f t="shared" ref="Y74:Y137" si="11">INT(VLOOKUP(U74, $AB$30:$AH$96, 7, FALSE))</f>
        <v>22048</v>
      </c>
      <c r="Z74" s="181"/>
      <c r="AB74" s="8" t="s">
        <v>68</v>
      </c>
      <c r="AC74" s="8">
        <v>7000</v>
      </c>
      <c r="AD74" s="8" t="s">
        <v>239</v>
      </c>
      <c r="AE74" s="8" t="s">
        <v>240</v>
      </c>
      <c r="AH74" s="8">
        <f t="shared" si="9"/>
        <v>21388.888888888891</v>
      </c>
    </row>
    <row r="75" spans="1:34" ht="25" customHeight="1" outlineLevel="1" x14ac:dyDescent="0.35">
      <c r="B75" s="122"/>
      <c r="C75" s="122"/>
      <c r="D75" s="122"/>
      <c r="E75" s="6" t="s">
        <v>13</v>
      </c>
      <c r="F75" s="32" t="s">
        <v>17</v>
      </c>
      <c r="G75" s="37"/>
      <c r="H75" s="61">
        <f t="shared" si="6"/>
        <v>12370.30110342248</v>
      </c>
      <c r="I75" s="61">
        <f t="shared" si="7"/>
        <v>3298.7469609126615</v>
      </c>
      <c r="J75" s="62">
        <f t="shared" si="8"/>
        <v>65.974939218253226</v>
      </c>
      <c r="K75" s="6"/>
      <c r="L75" s="45"/>
      <c r="U75" s="179" t="str" cm="1">
        <f t="array" ref="U75">IF(C75="",INDEX(C71:C75,MATCH(TRUE,INDEX((C71:C75&lt;&gt;""),0),0)),C75)</f>
        <v>Britoil 72</v>
      </c>
      <c r="V75" s="180">
        <f t="shared" si="10"/>
        <v>1.0308584252852067</v>
      </c>
      <c r="W75" s="180">
        <v>20000</v>
      </c>
      <c r="X75" s="180"/>
      <c r="Y75" s="180">
        <f t="shared" si="11"/>
        <v>22048</v>
      </c>
      <c r="Z75" s="181"/>
      <c r="AB75" s="8" t="s">
        <v>70</v>
      </c>
      <c r="AC75" s="8">
        <v>7000</v>
      </c>
      <c r="AD75" s="8" t="s">
        <v>239</v>
      </c>
      <c r="AE75" s="8" t="s">
        <v>240</v>
      </c>
      <c r="AH75" s="8">
        <f t="shared" si="9"/>
        <v>21388.888888888891</v>
      </c>
    </row>
    <row r="76" spans="1:34" ht="25" customHeight="1" outlineLevel="1" x14ac:dyDescent="0.35">
      <c r="B76" s="122"/>
      <c r="C76" s="122"/>
      <c r="D76" s="122"/>
      <c r="E76" s="6" t="s">
        <v>113</v>
      </c>
      <c r="F76" s="32"/>
      <c r="G76" s="37"/>
      <c r="H76" s="61" t="str">
        <f t="shared" si="6"/>
        <v/>
      </c>
      <c r="I76" s="61" t="str">
        <f t="shared" si="7"/>
        <v/>
      </c>
      <c r="J76" s="62" t="str">
        <f t="shared" si="8"/>
        <v/>
      </c>
      <c r="K76" s="6"/>
      <c r="L76" s="45"/>
      <c r="U76" s="179" t="str" cm="1">
        <f t="array" ref="U76">IF(C76="",INDEX(C72:C76,MATCH(TRUE,INDEX((C72:C76&lt;&gt;""),0),0)),C76)</f>
        <v>Britoil 72</v>
      </c>
      <c r="V76" s="180">
        <f t="shared" si="10"/>
        <v>1.0308584252852067</v>
      </c>
      <c r="W76" s="180">
        <v>20000</v>
      </c>
      <c r="X76" s="180"/>
      <c r="Y76" s="180">
        <f t="shared" si="11"/>
        <v>22048</v>
      </c>
      <c r="Z76" s="181"/>
      <c r="AB76" s="8" t="s">
        <v>71</v>
      </c>
      <c r="AC76" s="8">
        <v>8000</v>
      </c>
      <c r="AD76" s="8" t="s">
        <v>241</v>
      </c>
      <c r="AE76" s="8" t="s">
        <v>242</v>
      </c>
      <c r="AH76" s="8">
        <f t="shared" si="9"/>
        <v>24444.444444444445</v>
      </c>
    </row>
    <row r="77" spans="1:34" ht="25" customHeight="1" outlineLevel="1" x14ac:dyDescent="0.35">
      <c r="B77" s="122"/>
      <c r="C77" s="122"/>
      <c r="D77" s="122"/>
      <c r="E77" s="6" t="s">
        <v>110</v>
      </c>
      <c r="F77" s="32"/>
      <c r="G77" s="37"/>
      <c r="H77" s="61" t="str">
        <f t="shared" si="6"/>
        <v/>
      </c>
      <c r="I77" s="61" t="str">
        <f t="shared" si="7"/>
        <v/>
      </c>
      <c r="J77" s="62" t="str">
        <f t="shared" si="8"/>
        <v/>
      </c>
      <c r="K77" s="6"/>
      <c r="L77" s="45"/>
      <c r="U77" s="179" t="str" cm="1">
        <f t="array" ref="U77">IF(C77="",INDEX(C73:C77,MATCH(TRUE,INDEX((C73:C77&lt;&gt;""),0),0)),C77)</f>
        <v>Britoil 72</v>
      </c>
      <c r="V77" s="180">
        <f t="shared" si="10"/>
        <v>1.0308584252852067</v>
      </c>
      <c r="W77" s="180">
        <v>20000</v>
      </c>
      <c r="X77" s="180"/>
      <c r="Y77" s="180">
        <f t="shared" si="11"/>
        <v>22048</v>
      </c>
      <c r="Z77" s="181"/>
      <c r="AB77" s="8" t="s">
        <v>74</v>
      </c>
      <c r="AC77" s="8">
        <v>6000</v>
      </c>
      <c r="AD77" s="8" t="s">
        <v>243</v>
      </c>
      <c r="AE77" s="8" t="s">
        <v>244</v>
      </c>
      <c r="AH77" s="8">
        <f t="shared" si="9"/>
        <v>18333.333333333332</v>
      </c>
    </row>
    <row r="78" spans="1:34" ht="25" customHeight="1" outlineLevel="1" x14ac:dyDescent="0.35">
      <c r="B78" s="123"/>
      <c r="C78" s="123"/>
      <c r="D78" s="123"/>
      <c r="E78" s="7" t="s">
        <v>14</v>
      </c>
      <c r="F78" s="32" t="s">
        <v>21</v>
      </c>
      <c r="G78" s="38"/>
      <c r="H78" s="63" t="str">
        <f t="shared" si="6"/>
        <v/>
      </c>
      <c r="I78" s="63" t="str">
        <f t="shared" si="7"/>
        <v/>
      </c>
      <c r="J78" s="64" t="str">
        <f t="shared" si="8"/>
        <v/>
      </c>
      <c r="K78" s="7"/>
      <c r="L78" s="46"/>
      <c r="U78" s="179" t="str" cm="1">
        <f t="array" ref="U78">IF(C78="",INDEX(C74:C78,MATCH(TRUE,INDEX((C74:C78&lt;&gt;""),0),0)),C78)</f>
        <v>Britoil 72</v>
      </c>
      <c r="V78" s="180">
        <f t="shared" si="10"/>
        <v>1.0308584252852067</v>
      </c>
      <c r="W78" s="180">
        <v>20000</v>
      </c>
      <c r="X78" s="180"/>
      <c r="Y78" s="180">
        <f t="shared" si="11"/>
        <v>22048</v>
      </c>
      <c r="Z78" s="181"/>
      <c r="AB78" s="8" t="s">
        <v>75</v>
      </c>
      <c r="AC78" s="8">
        <v>6000</v>
      </c>
      <c r="AD78" s="8" t="s">
        <v>243</v>
      </c>
      <c r="AE78" s="8" t="s">
        <v>244</v>
      </c>
      <c r="AH78" s="8">
        <f t="shared" si="9"/>
        <v>18333.333333333332</v>
      </c>
    </row>
    <row r="79" spans="1:34" ht="30" customHeight="1" x14ac:dyDescent="0.35">
      <c r="A79" s="8" t="s">
        <v>140</v>
      </c>
      <c r="B79" s="124">
        <v>15</v>
      </c>
      <c r="C79" s="124" t="s">
        <v>30</v>
      </c>
      <c r="D79" s="124" t="s">
        <v>12</v>
      </c>
      <c r="E79" s="26" t="s">
        <v>106</v>
      </c>
      <c r="F79" s="31"/>
      <c r="G79" s="35"/>
      <c r="H79" s="57" t="str">
        <f t="shared" si="6"/>
        <v/>
      </c>
      <c r="I79" s="57" t="str">
        <f t="shared" si="7"/>
        <v/>
      </c>
      <c r="J79" s="58" t="str">
        <f t="shared" si="8"/>
        <v/>
      </c>
      <c r="K79" s="127" t="s">
        <v>178</v>
      </c>
      <c r="L79" s="41"/>
      <c r="U79" s="179" t="str" cm="1">
        <f t="array" ref="U79">IF(C79="",INDEX(C75:C79,MATCH(TRUE,INDEX((C75:C79&lt;&gt;""),0),0)),C79)</f>
        <v>Britoil 73</v>
      </c>
      <c r="V79" s="180">
        <f t="shared" si="10"/>
        <v>1.0382925004675518</v>
      </c>
      <c r="W79" s="180">
        <v>20000</v>
      </c>
      <c r="X79" s="180"/>
      <c r="Y79" s="180">
        <f t="shared" si="11"/>
        <v>22207</v>
      </c>
      <c r="Z79" s="181"/>
      <c r="AB79" s="8" t="s">
        <v>77</v>
      </c>
      <c r="AC79" s="8">
        <v>8200</v>
      </c>
      <c r="AD79" s="8" t="s">
        <v>245</v>
      </c>
      <c r="AE79" s="8" t="s">
        <v>246</v>
      </c>
      <c r="AH79" s="8">
        <f t="shared" si="9"/>
        <v>25055.555555555555</v>
      </c>
    </row>
    <row r="80" spans="1:34" ht="25" customHeight="1" outlineLevel="1" x14ac:dyDescent="0.35">
      <c r="B80" s="125"/>
      <c r="C80" s="125"/>
      <c r="D80" s="125"/>
      <c r="E80" s="3" t="s">
        <v>13</v>
      </c>
      <c r="F80" s="31" t="s">
        <v>17</v>
      </c>
      <c r="G80" s="35"/>
      <c r="H80" s="57">
        <f t="shared" si="6"/>
        <v>12459.510005610622</v>
      </c>
      <c r="I80" s="57">
        <f t="shared" si="7"/>
        <v>3322.5360014961657</v>
      </c>
      <c r="J80" s="58">
        <f t="shared" si="8"/>
        <v>66.450720029923318</v>
      </c>
      <c r="K80" s="125"/>
      <c r="L80" s="42"/>
      <c r="U80" s="179" t="str" cm="1">
        <f t="array" ref="U80">IF(C80="",INDEX(C76:C80,MATCH(TRUE,INDEX((C76:C80&lt;&gt;""),0),0)),C80)</f>
        <v>Britoil 73</v>
      </c>
      <c r="V80" s="180">
        <f t="shared" si="10"/>
        <v>1.0382925004675518</v>
      </c>
      <c r="W80" s="180">
        <v>20000</v>
      </c>
      <c r="X80" s="180"/>
      <c r="Y80" s="180">
        <f t="shared" si="11"/>
        <v>22207</v>
      </c>
      <c r="Z80" s="181"/>
      <c r="AB80" s="8" t="s">
        <v>78</v>
      </c>
      <c r="AC80" s="8">
        <v>8200</v>
      </c>
      <c r="AD80" s="8" t="s">
        <v>245</v>
      </c>
      <c r="AE80" s="8" t="s">
        <v>246</v>
      </c>
      <c r="AH80" s="8">
        <f t="shared" si="9"/>
        <v>25055.555555555555</v>
      </c>
    </row>
    <row r="81" spans="1:34" ht="25" customHeight="1" outlineLevel="1" x14ac:dyDescent="0.35">
      <c r="B81" s="125"/>
      <c r="C81" s="125"/>
      <c r="D81" s="125"/>
      <c r="E81" s="3" t="s">
        <v>113</v>
      </c>
      <c r="F81" s="31" t="s">
        <v>17</v>
      </c>
      <c r="G81" s="35"/>
      <c r="H81" s="57">
        <f t="shared" si="6"/>
        <v>16612.680007480831</v>
      </c>
      <c r="I81" s="57">
        <f t="shared" si="7"/>
        <v>103.82925004675518</v>
      </c>
      <c r="J81" s="58">
        <f t="shared" si="8"/>
        <v>88.254862539741907</v>
      </c>
      <c r="K81" s="125"/>
      <c r="L81" s="42" t="s">
        <v>184</v>
      </c>
      <c r="U81" s="179" t="str" cm="1">
        <f t="array" ref="U81">IF(C81="",INDEX(C77:C81,MATCH(TRUE,INDEX((C77:C81&lt;&gt;""),0),0)),C81)</f>
        <v>Britoil 73</v>
      </c>
      <c r="V81" s="180">
        <f t="shared" si="10"/>
        <v>1.0382925004675518</v>
      </c>
      <c r="W81" s="180">
        <v>20000</v>
      </c>
      <c r="X81" s="180"/>
      <c r="Y81" s="180">
        <f t="shared" si="11"/>
        <v>22207</v>
      </c>
      <c r="Z81" s="181"/>
      <c r="AB81" s="8" t="s">
        <v>79</v>
      </c>
      <c r="AC81" s="8">
        <v>6500</v>
      </c>
      <c r="AD81" s="8" t="s">
        <v>247</v>
      </c>
      <c r="AE81" s="8" t="s">
        <v>248</v>
      </c>
      <c r="AH81" s="8">
        <f t="shared" si="9"/>
        <v>19861.111111111109</v>
      </c>
    </row>
    <row r="82" spans="1:34" ht="25" customHeight="1" outlineLevel="1" x14ac:dyDescent="0.35">
      <c r="B82" s="125"/>
      <c r="C82" s="125"/>
      <c r="D82" s="125"/>
      <c r="E82" s="3" t="s">
        <v>110</v>
      </c>
      <c r="F82" s="31" t="s">
        <v>21</v>
      </c>
      <c r="G82" s="35"/>
      <c r="H82" s="57" t="str">
        <f t="shared" si="6"/>
        <v/>
      </c>
      <c r="I82" s="57" t="str">
        <f t="shared" si="7"/>
        <v/>
      </c>
      <c r="J82" s="58" t="str">
        <f t="shared" si="8"/>
        <v/>
      </c>
      <c r="K82" s="125"/>
      <c r="L82" s="42"/>
      <c r="U82" s="179" t="str" cm="1">
        <f t="array" ref="U82">IF(C82="",INDEX(C78:C82,MATCH(TRUE,INDEX((C78:C82&lt;&gt;""),0),0)),C82)</f>
        <v>Britoil 73</v>
      </c>
      <c r="V82" s="180">
        <f t="shared" si="10"/>
        <v>1.0382925004675518</v>
      </c>
      <c r="W82" s="180">
        <v>20000</v>
      </c>
      <c r="X82" s="180"/>
      <c r="Y82" s="180">
        <f t="shared" si="11"/>
        <v>22207</v>
      </c>
      <c r="Z82" s="181"/>
      <c r="AB82" s="8" t="s">
        <v>80</v>
      </c>
      <c r="AC82" s="8">
        <v>6500</v>
      </c>
      <c r="AD82" s="8" t="s">
        <v>247</v>
      </c>
      <c r="AE82" s="8" t="s">
        <v>248</v>
      </c>
      <c r="AH82" s="8">
        <f t="shared" si="9"/>
        <v>19861.111111111109</v>
      </c>
    </row>
    <row r="83" spans="1:34" ht="25" customHeight="1" outlineLevel="1" x14ac:dyDescent="0.35">
      <c r="B83" s="126"/>
      <c r="C83" s="126"/>
      <c r="D83" s="126"/>
      <c r="E83" s="4" t="s">
        <v>14</v>
      </c>
      <c r="F83" s="31" t="s">
        <v>21</v>
      </c>
      <c r="G83" s="35"/>
      <c r="H83" s="57" t="str">
        <f t="shared" si="6"/>
        <v/>
      </c>
      <c r="I83" s="57" t="str">
        <f t="shared" si="7"/>
        <v/>
      </c>
      <c r="J83" s="58" t="str">
        <f t="shared" si="8"/>
        <v/>
      </c>
      <c r="K83" s="126"/>
      <c r="L83" s="43"/>
      <c r="U83" s="179" t="str" cm="1">
        <f t="array" ref="U83">IF(C83="",INDEX(C79:C83,MATCH(TRUE,INDEX((C79:C83&lt;&gt;""),0),0)),C83)</f>
        <v>Britoil 73</v>
      </c>
      <c r="V83" s="180">
        <f t="shared" si="10"/>
        <v>1.0382925004675518</v>
      </c>
      <c r="W83" s="180">
        <v>20000</v>
      </c>
      <c r="X83" s="180"/>
      <c r="Y83" s="180">
        <f t="shared" si="11"/>
        <v>22207</v>
      </c>
      <c r="Z83" s="181"/>
      <c r="AB83" s="8" t="s">
        <v>81</v>
      </c>
      <c r="AC83" s="8">
        <v>7000</v>
      </c>
      <c r="AD83" s="8" t="s">
        <v>241</v>
      </c>
      <c r="AE83" s="8" t="s">
        <v>242</v>
      </c>
      <c r="AH83" s="8">
        <f t="shared" si="9"/>
        <v>21388.888888888891</v>
      </c>
    </row>
    <row r="84" spans="1:34" ht="30" customHeight="1" x14ac:dyDescent="0.35">
      <c r="A84" s="8" t="s">
        <v>140</v>
      </c>
      <c r="B84" s="121">
        <v>16</v>
      </c>
      <c r="C84" s="121" t="s">
        <v>31</v>
      </c>
      <c r="D84" s="121" t="s">
        <v>12</v>
      </c>
      <c r="E84" s="27" t="s">
        <v>106</v>
      </c>
      <c r="F84" s="32"/>
      <c r="G84" s="36"/>
      <c r="H84" s="59" t="str">
        <f t="shared" si="6"/>
        <v/>
      </c>
      <c r="I84" s="59" t="str">
        <f t="shared" si="7"/>
        <v/>
      </c>
      <c r="J84" s="60" t="str">
        <f t="shared" si="8"/>
        <v/>
      </c>
      <c r="K84" s="121" t="s">
        <v>176</v>
      </c>
      <c r="L84" s="44"/>
      <c r="U84" s="179" t="str" cm="1">
        <f t="array" ref="U84">IF(C84="",INDEX(C80:C84,MATCH(TRUE,INDEX((C80:C84&lt;&gt;""),0),0)),C84)</f>
        <v>Britoil 74</v>
      </c>
      <c r="V84" s="180">
        <f t="shared" si="10"/>
        <v>1.0382925004675518</v>
      </c>
      <c r="W84" s="180">
        <v>20000</v>
      </c>
      <c r="X84" s="180"/>
      <c r="Y84" s="180">
        <f t="shared" si="11"/>
        <v>22207</v>
      </c>
      <c r="Z84" s="181"/>
      <c r="AB84" s="8" t="s">
        <v>83</v>
      </c>
      <c r="AC84" s="8">
        <v>7000</v>
      </c>
      <c r="AD84" s="8" t="s">
        <v>241</v>
      </c>
      <c r="AE84" s="8" t="s">
        <v>242</v>
      </c>
      <c r="AH84" s="8">
        <f t="shared" si="9"/>
        <v>21388.888888888891</v>
      </c>
    </row>
    <row r="85" spans="1:34" ht="25" customHeight="1" outlineLevel="1" x14ac:dyDescent="0.35">
      <c r="B85" s="122"/>
      <c r="C85" s="122"/>
      <c r="D85" s="122"/>
      <c r="E85" s="6" t="s">
        <v>13</v>
      </c>
      <c r="F85" s="32" t="s">
        <v>17</v>
      </c>
      <c r="G85" s="37">
        <v>43983</v>
      </c>
      <c r="H85" s="61">
        <f t="shared" si="6"/>
        <v>12459.510005610622</v>
      </c>
      <c r="I85" s="61">
        <f t="shared" si="7"/>
        <v>3322.5360014961657</v>
      </c>
      <c r="J85" s="62">
        <f t="shared" si="8"/>
        <v>66.450720029923318</v>
      </c>
      <c r="K85" s="122"/>
      <c r="L85" s="45"/>
      <c r="U85" s="179" t="str" cm="1">
        <f t="array" ref="U85">IF(C85="",INDEX(C81:C85,MATCH(TRUE,INDEX((C81:C85&lt;&gt;""),0),0)),C85)</f>
        <v>Britoil 74</v>
      </c>
      <c r="V85" s="180">
        <f t="shared" si="10"/>
        <v>1.0382925004675518</v>
      </c>
      <c r="W85" s="180">
        <v>20000</v>
      </c>
      <c r="X85" s="180"/>
      <c r="Y85" s="180">
        <f t="shared" si="11"/>
        <v>22207</v>
      </c>
      <c r="Z85" s="181"/>
      <c r="AB85" s="8" t="s">
        <v>84</v>
      </c>
      <c r="AC85" s="8">
        <v>6600</v>
      </c>
      <c r="AD85" s="8" t="s">
        <v>249</v>
      </c>
      <c r="AE85" s="8" t="s">
        <v>250</v>
      </c>
      <c r="AH85" s="8">
        <f t="shared" si="9"/>
        <v>20166.666666666668</v>
      </c>
    </row>
    <row r="86" spans="1:34" ht="25" customHeight="1" outlineLevel="1" x14ac:dyDescent="0.35">
      <c r="B86" s="122"/>
      <c r="C86" s="122"/>
      <c r="D86" s="122"/>
      <c r="E86" s="6" t="s">
        <v>113</v>
      </c>
      <c r="F86" s="32" t="s">
        <v>21</v>
      </c>
      <c r="G86" s="37"/>
      <c r="H86" s="61" t="str">
        <f t="shared" si="6"/>
        <v/>
      </c>
      <c r="I86" s="61" t="str">
        <f t="shared" si="7"/>
        <v/>
      </c>
      <c r="J86" s="62" t="str">
        <f t="shared" si="8"/>
        <v/>
      </c>
      <c r="K86" s="122"/>
      <c r="L86" s="45"/>
      <c r="U86" s="179" t="str" cm="1">
        <f t="array" ref="U86">IF(C86="",INDEX(C82:C86,MATCH(TRUE,INDEX((C82:C86&lt;&gt;""),0),0)),C86)</f>
        <v>Britoil 74</v>
      </c>
      <c r="V86" s="180">
        <f t="shared" si="10"/>
        <v>1.0382925004675518</v>
      </c>
      <c r="W86" s="180">
        <v>20000</v>
      </c>
      <c r="X86" s="180"/>
      <c r="Y86" s="180">
        <f t="shared" si="11"/>
        <v>22207</v>
      </c>
      <c r="Z86" s="181"/>
      <c r="AB86" s="8" t="s">
        <v>85</v>
      </c>
      <c r="AC86" s="8">
        <v>6600</v>
      </c>
      <c r="AD86" s="8" t="s">
        <v>249</v>
      </c>
      <c r="AE86" s="8" t="s">
        <v>250</v>
      </c>
      <c r="AH86" s="8">
        <f t="shared" si="9"/>
        <v>20166.666666666668</v>
      </c>
    </row>
    <row r="87" spans="1:34" ht="25" customHeight="1" outlineLevel="1" x14ac:dyDescent="0.35">
      <c r="B87" s="122"/>
      <c r="C87" s="122"/>
      <c r="D87" s="122"/>
      <c r="E87" s="6" t="s">
        <v>110</v>
      </c>
      <c r="F87" s="32" t="s">
        <v>17</v>
      </c>
      <c r="G87" s="37"/>
      <c r="H87" s="61">
        <f t="shared" si="6"/>
        <v>8617.8277538806797</v>
      </c>
      <c r="I87" s="61">
        <f t="shared" si="7"/>
        <v>1038.2925004675519</v>
      </c>
      <c r="J87" s="62">
        <f t="shared" si="8"/>
        <v>46.723162521039832</v>
      </c>
      <c r="K87" s="122"/>
      <c r="L87" s="45"/>
      <c r="U87" s="179" t="str" cm="1">
        <f t="array" ref="U87">IF(C87="",INDEX(C83:C87,MATCH(TRUE,INDEX((C83:C87&lt;&gt;""),0),0)),C87)</f>
        <v>Britoil 74</v>
      </c>
      <c r="V87" s="180">
        <f t="shared" si="10"/>
        <v>1.0382925004675518</v>
      </c>
      <c r="W87" s="180">
        <v>20000</v>
      </c>
      <c r="X87" s="180"/>
      <c r="Y87" s="180">
        <f t="shared" si="11"/>
        <v>22207</v>
      </c>
      <c r="Z87" s="181"/>
      <c r="AB87" s="8" t="s">
        <v>99</v>
      </c>
      <c r="AC87" s="8">
        <v>6000</v>
      </c>
      <c r="AD87" s="8" t="s">
        <v>251</v>
      </c>
      <c r="AE87" s="8" t="s">
        <v>250</v>
      </c>
      <c r="AH87" s="8">
        <f t="shared" si="9"/>
        <v>18333.333333333332</v>
      </c>
    </row>
    <row r="88" spans="1:34" ht="25" customHeight="1" outlineLevel="1" x14ac:dyDescent="0.35">
      <c r="B88" s="123"/>
      <c r="C88" s="123"/>
      <c r="D88" s="123"/>
      <c r="E88" s="7" t="s">
        <v>14</v>
      </c>
      <c r="F88" s="32" t="s">
        <v>32</v>
      </c>
      <c r="G88" s="38"/>
      <c r="H88" s="63" t="str">
        <f t="shared" ref="H88:H152" si="12">IF(F88="Done", V88*VLOOKUP(E88, $AB$3:$AC$11, 2, FALSE), "")</f>
        <v/>
      </c>
      <c r="I88" s="63" t="str">
        <f t="shared" ref="I88:I152" si="13">IF(F88="Done", V88*VLOOKUP(E88, $AB$3:$AD$11, 3, FALSE), "")</f>
        <v/>
      </c>
      <c r="J88" s="64" t="str">
        <f t="shared" ref="J88:J152" si="14">IF(F88="Done", V88*VLOOKUP(E88, $AB$3:$AE$11, 4, FALSE), "")</f>
        <v/>
      </c>
      <c r="K88" s="123"/>
      <c r="L88" s="46"/>
      <c r="U88" s="179" t="str" cm="1">
        <f t="array" ref="U88">IF(C88="",INDEX(C84:C88,MATCH(TRUE,INDEX((C84:C88&lt;&gt;""),0),0)),C88)</f>
        <v>Britoil 74</v>
      </c>
      <c r="V88" s="180">
        <f t="shared" si="10"/>
        <v>1.0382925004675518</v>
      </c>
      <c r="W88" s="180">
        <v>20000</v>
      </c>
      <c r="X88" s="180"/>
      <c r="Y88" s="180">
        <f t="shared" si="11"/>
        <v>22207</v>
      </c>
      <c r="Z88" s="181"/>
      <c r="AB88" s="8" t="s">
        <v>90</v>
      </c>
      <c r="AC88" s="8">
        <v>6000</v>
      </c>
      <c r="AD88" s="8" t="s">
        <v>252</v>
      </c>
      <c r="AE88" s="8" t="s">
        <v>250</v>
      </c>
      <c r="AH88" s="8">
        <f t="shared" si="9"/>
        <v>18333.333333333332</v>
      </c>
    </row>
    <row r="89" spans="1:34" ht="30" customHeight="1" x14ac:dyDescent="0.35">
      <c r="A89" s="8" t="s">
        <v>140</v>
      </c>
      <c r="B89" s="124">
        <v>17</v>
      </c>
      <c r="C89" s="124" t="s">
        <v>33</v>
      </c>
      <c r="D89" s="124" t="s">
        <v>34</v>
      </c>
      <c r="E89" s="26" t="s">
        <v>106</v>
      </c>
      <c r="F89" s="31"/>
      <c r="G89" s="35"/>
      <c r="H89" s="57" t="str">
        <f t="shared" si="12"/>
        <v/>
      </c>
      <c r="I89" s="57" t="str">
        <f t="shared" si="13"/>
        <v/>
      </c>
      <c r="J89" s="58" t="str">
        <f t="shared" si="14"/>
        <v/>
      </c>
      <c r="K89" s="124" t="s">
        <v>105</v>
      </c>
      <c r="L89" s="41"/>
      <c r="U89" s="179" t="str" cm="1">
        <f t="array" ref="U89">IF(C89="",INDEX(C85:C89,MATCH(TRUE,INDEX((C85:C89&lt;&gt;""),0),0)),C89)</f>
        <v>Britoil 80</v>
      </c>
      <c r="V89" s="180">
        <f t="shared" si="10"/>
        <v>1.1428838601084721</v>
      </c>
      <c r="W89" s="180">
        <v>22000</v>
      </c>
      <c r="X89" s="180"/>
      <c r="Y89" s="180">
        <f t="shared" si="11"/>
        <v>24444</v>
      </c>
      <c r="Z89" s="181"/>
      <c r="AB89" s="8" t="s">
        <v>91</v>
      </c>
      <c r="AC89" s="8">
        <v>6000</v>
      </c>
      <c r="AD89" s="8" t="s">
        <v>253</v>
      </c>
      <c r="AE89" s="8" t="s">
        <v>250</v>
      </c>
      <c r="AH89" s="8">
        <f t="shared" si="9"/>
        <v>18333.333333333332</v>
      </c>
    </row>
    <row r="90" spans="1:34" ht="25" customHeight="1" outlineLevel="1" x14ac:dyDescent="0.35">
      <c r="B90" s="125"/>
      <c r="C90" s="125"/>
      <c r="D90" s="125"/>
      <c r="E90" s="3" t="s">
        <v>13</v>
      </c>
      <c r="F90" s="31" t="s">
        <v>17</v>
      </c>
      <c r="G90" s="35" t="s">
        <v>188</v>
      </c>
      <c r="H90" s="57">
        <f t="shared" si="12"/>
        <v>13714.606321301666</v>
      </c>
      <c r="I90" s="57">
        <f t="shared" si="13"/>
        <v>3657.2283523471106</v>
      </c>
      <c r="J90" s="58">
        <f t="shared" si="14"/>
        <v>73.144567046942214</v>
      </c>
      <c r="K90" s="125"/>
      <c r="L90" s="42"/>
      <c r="U90" s="179" t="str" cm="1">
        <f t="array" ref="U90">IF(C90="",INDEX(C86:C90,MATCH(TRUE,INDEX((C86:C90&lt;&gt;""),0),0)),C90)</f>
        <v>Britoil 80</v>
      </c>
      <c r="V90" s="180">
        <f t="shared" si="10"/>
        <v>1.1428838601084721</v>
      </c>
      <c r="W90" s="180">
        <v>22000</v>
      </c>
      <c r="X90" s="180"/>
      <c r="Y90" s="180">
        <f t="shared" si="11"/>
        <v>24444</v>
      </c>
      <c r="Z90" s="181"/>
      <c r="AB90" s="8" t="s">
        <v>92</v>
      </c>
      <c r="AC90" s="8">
        <v>6000</v>
      </c>
      <c r="AD90" s="8" t="s">
        <v>254</v>
      </c>
      <c r="AE90" s="8" t="s">
        <v>250</v>
      </c>
      <c r="AH90" s="8">
        <f t="shared" si="9"/>
        <v>18333.333333333332</v>
      </c>
    </row>
    <row r="91" spans="1:34" ht="25" customHeight="1" outlineLevel="1" x14ac:dyDescent="0.35">
      <c r="B91" s="125"/>
      <c r="C91" s="125"/>
      <c r="D91" s="125"/>
      <c r="E91" s="3" t="s">
        <v>110</v>
      </c>
      <c r="F91" s="31" t="s">
        <v>21</v>
      </c>
      <c r="G91" s="35"/>
      <c r="H91" s="57" t="str">
        <f t="shared" si="12"/>
        <v/>
      </c>
      <c r="I91" s="57" t="str">
        <f t="shared" si="13"/>
        <v/>
      </c>
      <c r="J91" s="58" t="str">
        <f t="shared" si="14"/>
        <v/>
      </c>
      <c r="K91" s="125"/>
      <c r="L91" s="42"/>
      <c r="U91" s="179" t="str" cm="1">
        <f t="array" ref="U91">IF(C91="",INDEX(C87:C91,MATCH(TRUE,INDEX((C87:C91&lt;&gt;""),0),0)),C91)</f>
        <v>Britoil 80</v>
      </c>
      <c r="V91" s="180">
        <f t="shared" si="10"/>
        <v>1.1428838601084721</v>
      </c>
      <c r="W91" s="180">
        <v>22000</v>
      </c>
      <c r="X91" s="180"/>
      <c r="Y91" s="180">
        <f t="shared" si="11"/>
        <v>24444</v>
      </c>
      <c r="Z91" s="181"/>
      <c r="AB91" s="8" t="s">
        <v>98</v>
      </c>
      <c r="AC91" s="8">
        <v>6000</v>
      </c>
      <c r="AD91" s="8" t="s">
        <v>255</v>
      </c>
      <c r="AE91" s="8" t="s">
        <v>250</v>
      </c>
      <c r="AH91" s="8">
        <f t="shared" si="9"/>
        <v>18333.333333333332</v>
      </c>
    </row>
    <row r="92" spans="1:34" ht="25" customHeight="1" outlineLevel="1" x14ac:dyDescent="0.35">
      <c r="B92" s="125"/>
      <c r="C92" s="125"/>
      <c r="D92" s="125"/>
      <c r="E92" s="3" t="s">
        <v>113</v>
      </c>
      <c r="F92" s="31" t="s">
        <v>21</v>
      </c>
      <c r="G92" s="35"/>
      <c r="H92" s="57" t="str">
        <f t="shared" si="12"/>
        <v/>
      </c>
      <c r="I92" s="57" t="str">
        <f t="shared" si="13"/>
        <v/>
      </c>
      <c r="J92" s="58" t="str">
        <f t="shared" si="14"/>
        <v/>
      </c>
      <c r="K92" s="125"/>
      <c r="L92" s="42"/>
      <c r="U92" s="179" t="str" cm="1">
        <f t="array" ref="U92">IF(C92="",INDEX(C88:C92,MATCH(TRUE,INDEX((C88:C92&lt;&gt;""),0),0)),C92)</f>
        <v>Britoil 80</v>
      </c>
      <c r="V92" s="180">
        <f t="shared" si="10"/>
        <v>1.1428838601084721</v>
      </c>
      <c r="W92" s="180">
        <v>22000</v>
      </c>
      <c r="X92" s="180"/>
      <c r="Y92" s="180">
        <f t="shared" si="11"/>
        <v>24444</v>
      </c>
      <c r="Z92" s="181"/>
      <c r="AB92" s="8" t="s">
        <v>44</v>
      </c>
      <c r="AC92" s="8">
        <v>1000</v>
      </c>
      <c r="AD92" s="8" t="s">
        <v>256</v>
      </c>
      <c r="AE92" s="8" t="s">
        <v>250</v>
      </c>
      <c r="AH92" s="8">
        <f t="shared" si="9"/>
        <v>3055.5555555555557</v>
      </c>
    </row>
    <row r="93" spans="1:34" ht="25" customHeight="1" outlineLevel="1" x14ac:dyDescent="0.35">
      <c r="B93" s="125"/>
      <c r="C93" s="125"/>
      <c r="D93" s="125"/>
      <c r="E93" s="3" t="s">
        <v>114</v>
      </c>
      <c r="F93" s="31" t="s">
        <v>21</v>
      </c>
      <c r="G93" s="35"/>
      <c r="H93" s="57" t="str">
        <f t="shared" si="12"/>
        <v/>
      </c>
      <c r="I93" s="57" t="str">
        <f t="shared" si="13"/>
        <v/>
      </c>
      <c r="J93" s="58" t="str">
        <f t="shared" si="14"/>
        <v/>
      </c>
      <c r="K93" s="125"/>
      <c r="L93" s="42"/>
      <c r="U93" s="179" t="str" cm="1">
        <f t="array" ref="U93">IF(C93="",INDEX(C88:C93,MATCH(TRUE,INDEX((C88:C93&lt;&gt;""),0),0)),C93)</f>
        <v>Britoil 80</v>
      </c>
      <c r="V93" s="180">
        <f t="shared" si="10"/>
        <v>1.1428838601084721</v>
      </c>
      <c r="W93" s="180">
        <v>22000</v>
      </c>
      <c r="X93" s="180"/>
      <c r="Y93" s="180">
        <f t="shared" si="11"/>
        <v>24444</v>
      </c>
      <c r="Z93" s="181"/>
      <c r="AB93" s="8" t="s">
        <v>93</v>
      </c>
      <c r="AC93" s="8">
        <v>5000</v>
      </c>
      <c r="AD93" s="8" t="s">
        <v>247</v>
      </c>
      <c r="AE93" s="8" t="s">
        <v>250</v>
      </c>
      <c r="AH93" s="8">
        <f t="shared" si="9"/>
        <v>15277.777777777777</v>
      </c>
    </row>
    <row r="94" spans="1:34" ht="25" customHeight="1" outlineLevel="1" x14ac:dyDescent="0.35">
      <c r="B94" s="126"/>
      <c r="C94" s="126"/>
      <c r="D94" s="126"/>
      <c r="E94" s="4" t="s">
        <v>14</v>
      </c>
      <c r="F94" s="31" t="s">
        <v>17</v>
      </c>
      <c r="G94" s="35" t="s">
        <v>189</v>
      </c>
      <c r="H94" s="57">
        <f t="shared" si="12"/>
        <v>2857.2096502711802</v>
      </c>
      <c r="I94" s="57">
        <f t="shared" si="13"/>
        <v>3657.2283523471106</v>
      </c>
      <c r="J94" s="58">
        <f t="shared" si="14"/>
        <v>12.571722461193193</v>
      </c>
      <c r="K94" s="126"/>
      <c r="L94" s="43"/>
      <c r="U94" s="179" t="str" cm="1">
        <f t="array" ref="U94">IF(C94="",INDEX(C89:C94,MATCH(TRUE,INDEX((C89:C94&lt;&gt;""),0),0)),C94)</f>
        <v>Britoil 80</v>
      </c>
      <c r="V94" s="180">
        <f t="shared" si="10"/>
        <v>1.1428838601084721</v>
      </c>
      <c r="W94" s="180">
        <v>22000</v>
      </c>
      <c r="X94" s="180"/>
      <c r="Y94" s="180">
        <f t="shared" si="11"/>
        <v>24444</v>
      </c>
      <c r="Z94" s="181"/>
      <c r="AB94" s="8" t="s">
        <v>97</v>
      </c>
      <c r="AC94" s="8">
        <v>8000</v>
      </c>
      <c r="AD94" s="8" t="s">
        <v>257</v>
      </c>
      <c r="AE94" s="8" t="s">
        <v>250</v>
      </c>
      <c r="AH94" s="8">
        <f t="shared" si="9"/>
        <v>24444.444444444445</v>
      </c>
    </row>
    <row r="95" spans="1:34" ht="30" customHeight="1" x14ac:dyDescent="0.35">
      <c r="B95" s="121">
        <v>18</v>
      </c>
      <c r="C95" s="121" t="s">
        <v>35</v>
      </c>
      <c r="D95" s="121" t="s">
        <v>34</v>
      </c>
      <c r="E95" s="27" t="s">
        <v>106</v>
      </c>
      <c r="F95" s="32"/>
      <c r="G95" s="36"/>
      <c r="H95" s="59" t="str">
        <f t="shared" si="12"/>
        <v/>
      </c>
      <c r="I95" s="59" t="str">
        <f t="shared" si="13"/>
        <v/>
      </c>
      <c r="J95" s="60" t="str">
        <f t="shared" si="14"/>
        <v/>
      </c>
      <c r="K95" s="5"/>
      <c r="L95" s="44"/>
      <c r="U95" s="179" t="str" cm="1">
        <f t="array" ref="U95">IF(C95="",INDEX(C90:C95,MATCH(TRUE,INDEX((C90:C95&lt;&gt;""),0),0)),C95)</f>
        <v>Britoil 81</v>
      </c>
      <c r="V95" s="180">
        <f t="shared" si="10"/>
        <v>1.1428838601084721</v>
      </c>
      <c r="W95" s="180">
        <v>22000</v>
      </c>
      <c r="X95" s="180"/>
      <c r="Y95" s="180">
        <f t="shared" si="11"/>
        <v>24444</v>
      </c>
      <c r="Z95" s="181"/>
      <c r="AB95" s="8" t="s">
        <v>73</v>
      </c>
      <c r="AC95" s="8">
        <v>7000</v>
      </c>
      <c r="AD95" s="8" t="s">
        <v>258</v>
      </c>
      <c r="AE95" s="8" t="s">
        <v>250</v>
      </c>
      <c r="AH95" s="8">
        <f t="shared" si="9"/>
        <v>21388.888888888891</v>
      </c>
    </row>
    <row r="96" spans="1:34" ht="25" customHeight="1" outlineLevel="1" x14ac:dyDescent="0.35">
      <c r="B96" s="122"/>
      <c r="C96" s="122"/>
      <c r="D96" s="122"/>
      <c r="E96" s="6" t="s">
        <v>13</v>
      </c>
      <c r="F96" s="32"/>
      <c r="G96" s="37"/>
      <c r="H96" s="61" t="str">
        <f t="shared" si="12"/>
        <v/>
      </c>
      <c r="I96" s="61" t="str">
        <f t="shared" si="13"/>
        <v/>
      </c>
      <c r="J96" s="62" t="str">
        <f t="shared" si="14"/>
        <v/>
      </c>
      <c r="K96" s="6"/>
      <c r="L96" s="45"/>
      <c r="U96" s="179" t="str" cm="1">
        <f t="array" ref="U96">IF(C96="",INDEX(C91:C96,MATCH(TRUE,INDEX((C91:C96&lt;&gt;""),0),0)),C96)</f>
        <v>Britoil 81</v>
      </c>
      <c r="V96" s="180">
        <f t="shared" si="10"/>
        <v>1.1428838601084721</v>
      </c>
      <c r="W96" s="180">
        <v>22000</v>
      </c>
      <c r="X96" s="180"/>
      <c r="Y96" s="180">
        <f t="shared" si="11"/>
        <v>24444</v>
      </c>
      <c r="Z96" s="181"/>
      <c r="AB96" s="8" t="s">
        <v>82</v>
      </c>
      <c r="AC96" s="8">
        <v>7000</v>
      </c>
      <c r="AD96" s="8" t="s">
        <v>259</v>
      </c>
      <c r="AE96" s="8" t="s">
        <v>250</v>
      </c>
      <c r="AH96" s="8">
        <f t="shared" si="9"/>
        <v>21388.888888888891</v>
      </c>
    </row>
    <row r="97" spans="1:26" ht="25" customHeight="1" outlineLevel="1" x14ac:dyDescent="0.35">
      <c r="B97" s="122"/>
      <c r="C97" s="122"/>
      <c r="D97" s="122"/>
      <c r="E97" s="6" t="s">
        <v>110</v>
      </c>
      <c r="F97" s="32"/>
      <c r="G97" s="37"/>
      <c r="H97" s="61" t="str">
        <f t="shared" si="12"/>
        <v/>
      </c>
      <c r="I97" s="61" t="str">
        <f t="shared" si="13"/>
        <v/>
      </c>
      <c r="J97" s="62" t="str">
        <f t="shared" si="14"/>
        <v/>
      </c>
      <c r="K97" s="6"/>
      <c r="L97" s="45"/>
      <c r="U97" s="179" t="str" cm="1">
        <f t="array" ref="U97">IF(C97="",INDEX(C92:C97,MATCH(TRUE,INDEX((C92:C97&lt;&gt;""),0),0)),C97)</f>
        <v>Britoil 81</v>
      </c>
      <c r="V97" s="180">
        <f t="shared" si="10"/>
        <v>1.1428838601084721</v>
      </c>
      <c r="W97" s="180">
        <v>22000</v>
      </c>
      <c r="X97" s="180"/>
      <c r="Y97" s="180">
        <f t="shared" si="11"/>
        <v>24444</v>
      </c>
      <c r="Z97" s="181"/>
    </row>
    <row r="98" spans="1:26" ht="25" customHeight="1" outlineLevel="1" x14ac:dyDescent="0.35">
      <c r="B98" s="122"/>
      <c r="C98" s="122"/>
      <c r="D98" s="122"/>
      <c r="E98" s="6" t="s">
        <v>113</v>
      </c>
      <c r="F98" s="32"/>
      <c r="G98" s="37"/>
      <c r="H98" s="61" t="str">
        <f t="shared" si="12"/>
        <v/>
      </c>
      <c r="I98" s="61" t="str">
        <f t="shared" si="13"/>
        <v/>
      </c>
      <c r="J98" s="62" t="str">
        <f t="shared" si="14"/>
        <v/>
      </c>
      <c r="K98" s="6"/>
      <c r="L98" s="45"/>
      <c r="U98" s="179" t="str" cm="1">
        <f t="array" ref="U98">IF(C98="",INDEX(C93:C98,MATCH(TRUE,INDEX((C93:C98&lt;&gt;""),0),0)),C98)</f>
        <v>Britoil 81</v>
      </c>
      <c r="V98" s="180">
        <f t="shared" si="10"/>
        <v>1.1428838601084721</v>
      </c>
      <c r="W98" s="180">
        <v>22000</v>
      </c>
      <c r="X98" s="180"/>
      <c r="Y98" s="180">
        <f t="shared" si="11"/>
        <v>24444</v>
      </c>
      <c r="Z98" s="181"/>
    </row>
    <row r="99" spans="1:26" ht="25" customHeight="1" outlineLevel="1" x14ac:dyDescent="0.35">
      <c r="B99" s="122"/>
      <c r="C99" s="122"/>
      <c r="D99" s="122"/>
      <c r="E99" s="6" t="s">
        <v>114</v>
      </c>
      <c r="F99" s="32"/>
      <c r="G99" s="37"/>
      <c r="H99" s="61" t="str">
        <f t="shared" si="12"/>
        <v/>
      </c>
      <c r="I99" s="61" t="str">
        <f t="shared" si="13"/>
        <v/>
      </c>
      <c r="J99" s="62" t="str">
        <f t="shared" si="14"/>
        <v/>
      </c>
      <c r="K99" s="6"/>
      <c r="L99" s="45"/>
      <c r="U99" s="179" t="str" cm="1">
        <f t="array" ref="U99">IF(C99="",INDEX(C94:C99,MATCH(TRUE,INDEX((C94:C99&lt;&gt;""),0),0)),C99)</f>
        <v>Britoil 81</v>
      </c>
      <c r="V99" s="180">
        <f t="shared" si="10"/>
        <v>1.1428838601084721</v>
      </c>
      <c r="W99" s="180">
        <v>22000</v>
      </c>
      <c r="X99" s="180"/>
      <c r="Y99" s="180">
        <f t="shared" si="11"/>
        <v>24444</v>
      </c>
      <c r="Z99" s="181"/>
    </row>
    <row r="100" spans="1:26" ht="25" customHeight="1" outlineLevel="1" x14ac:dyDescent="0.35">
      <c r="B100" s="123"/>
      <c r="C100" s="123"/>
      <c r="D100" s="123"/>
      <c r="E100" s="7" t="s">
        <v>14</v>
      </c>
      <c r="F100" s="32" t="s">
        <v>109</v>
      </c>
      <c r="G100" s="38"/>
      <c r="H100" s="63" t="str">
        <f t="shared" si="12"/>
        <v/>
      </c>
      <c r="I100" s="63" t="str">
        <f t="shared" si="13"/>
        <v/>
      </c>
      <c r="J100" s="64" t="str">
        <f t="shared" si="14"/>
        <v/>
      </c>
      <c r="K100" s="7"/>
      <c r="L100" s="46"/>
      <c r="U100" s="179" t="str" cm="1">
        <f t="array" ref="U100">IF(C100="",INDEX(C95:C100,MATCH(TRUE,INDEX((C95:C100&lt;&gt;""),0),0)),C100)</f>
        <v>Britoil 81</v>
      </c>
      <c r="V100" s="180">
        <f t="shared" si="10"/>
        <v>1.1428838601084721</v>
      </c>
      <c r="W100" s="180">
        <v>22000</v>
      </c>
      <c r="X100" s="180"/>
      <c r="Y100" s="180">
        <f t="shared" si="11"/>
        <v>24444</v>
      </c>
      <c r="Z100" s="181"/>
    </row>
    <row r="101" spans="1:26" ht="30" customHeight="1" x14ac:dyDescent="0.35">
      <c r="A101" s="8" t="s">
        <v>140</v>
      </c>
      <c r="B101" s="124">
        <v>19</v>
      </c>
      <c r="C101" s="124" t="s">
        <v>36</v>
      </c>
      <c r="D101" s="124" t="s">
        <v>34</v>
      </c>
      <c r="E101" s="26" t="s">
        <v>106</v>
      </c>
      <c r="F101" s="31"/>
      <c r="G101" s="34"/>
      <c r="H101" s="55" t="str">
        <f t="shared" si="12"/>
        <v/>
      </c>
      <c r="I101" s="55" t="str">
        <f t="shared" si="13"/>
        <v/>
      </c>
      <c r="J101" s="56" t="str">
        <f t="shared" si="14"/>
        <v/>
      </c>
      <c r="K101" s="124" t="s">
        <v>146</v>
      </c>
      <c r="L101" s="41"/>
      <c r="U101" s="179" t="str" cm="1">
        <f t="array" ref="U101">IF(C101="",INDEX(C97:C101,MATCH(TRUE,INDEX((C97:C101&lt;&gt;""),0),0)),C101)</f>
        <v>Britoil 82</v>
      </c>
      <c r="V101" s="180">
        <f t="shared" si="10"/>
        <v>1.1428838601084721</v>
      </c>
      <c r="W101" s="180">
        <v>20000</v>
      </c>
      <c r="X101" s="180"/>
      <c r="Y101" s="180">
        <f t="shared" si="11"/>
        <v>24444</v>
      </c>
      <c r="Z101" s="181"/>
    </row>
    <row r="102" spans="1:26" ht="25" customHeight="1" outlineLevel="1" x14ac:dyDescent="0.35">
      <c r="B102" s="125"/>
      <c r="C102" s="125"/>
      <c r="D102" s="125"/>
      <c r="E102" s="3" t="s">
        <v>13</v>
      </c>
      <c r="F102" s="31" t="s">
        <v>17</v>
      </c>
      <c r="G102" s="35"/>
      <c r="H102" s="57">
        <f t="shared" si="12"/>
        <v>13714.606321301666</v>
      </c>
      <c r="I102" s="57">
        <f t="shared" si="13"/>
        <v>3657.2283523471106</v>
      </c>
      <c r="J102" s="58">
        <f t="shared" si="14"/>
        <v>73.144567046942214</v>
      </c>
      <c r="K102" s="125"/>
      <c r="L102" s="42"/>
      <c r="U102" s="179" t="str" cm="1">
        <f t="array" ref="U102">IF(C102="",INDEX(C98:C102,MATCH(TRUE,INDEX((C98:C102&lt;&gt;""),0),0)),C102)</f>
        <v>Britoil 82</v>
      </c>
      <c r="V102" s="180">
        <f t="shared" si="10"/>
        <v>1.1428838601084721</v>
      </c>
      <c r="W102" s="180">
        <v>20000</v>
      </c>
      <c r="X102" s="180"/>
      <c r="Y102" s="180">
        <f t="shared" si="11"/>
        <v>24444</v>
      </c>
      <c r="Z102" s="181"/>
    </row>
    <row r="103" spans="1:26" ht="25" customHeight="1" outlineLevel="1" x14ac:dyDescent="0.35">
      <c r="B103" s="125"/>
      <c r="C103" s="125"/>
      <c r="D103" s="125"/>
      <c r="E103" s="3" t="s">
        <v>110</v>
      </c>
      <c r="F103" s="31" t="s">
        <v>21</v>
      </c>
      <c r="G103" s="35"/>
      <c r="H103" s="57" t="str">
        <f t="shared" si="12"/>
        <v/>
      </c>
      <c r="I103" s="57" t="str">
        <f t="shared" si="13"/>
        <v/>
      </c>
      <c r="J103" s="58" t="str">
        <f t="shared" si="14"/>
        <v/>
      </c>
      <c r="K103" s="125"/>
      <c r="L103" s="42"/>
      <c r="U103" s="179" t="str" cm="1">
        <f t="array" ref="U103">IF(C103="",INDEX(C99:C103,MATCH(TRUE,INDEX((C99:C103&lt;&gt;""),0),0)),C103)</f>
        <v>Britoil 82</v>
      </c>
      <c r="V103" s="180">
        <f t="shared" si="10"/>
        <v>1.1428838601084721</v>
      </c>
      <c r="W103" s="180">
        <v>20000</v>
      </c>
      <c r="X103" s="180"/>
      <c r="Y103" s="180">
        <f t="shared" si="11"/>
        <v>24444</v>
      </c>
      <c r="Z103" s="181"/>
    </row>
    <row r="104" spans="1:26" ht="25" customHeight="1" outlineLevel="1" x14ac:dyDescent="0.35">
      <c r="B104" s="125"/>
      <c r="C104" s="125"/>
      <c r="D104" s="125"/>
      <c r="E104" s="3" t="s">
        <v>113</v>
      </c>
      <c r="F104" s="31" t="s">
        <v>21</v>
      </c>
      <c r="G104" s="35"/>
      <c r="H104" s="57" t="str">
        <f t="shared" si="12"/>
        <v/>
      </c>
      <c r="I104" s="57" t="str">
        <f t="shared" si="13"/>
        <v/>
      </c>
      <c r="J104" s="58" t="str">
        <f t="shared" si="14"/>
        <v/>
      </c>
      <c r="K104" s="125"/>
      <c r="L104" s="42"/>
      <c r="U104" s="179" t="str" cm="1">
        <f t="array" ref="U104">IF(C104="",INDEX(C100:C104,MATCH(TRUE,INDEX((C100:C104&lt;&gt;""),0),0)),C104)</f>
        <v>Britoil 82</v>
      </c>
      <c r="V104" s="180">
        <f t="shared" si="10"/>
        <v>1.1428838601084721</v>
      </c>
      <c r="W104" s="180">
        <v>20000</v>
      </c>
      <c r="X104" s="180"/>
      <c r="Y104" s="180">
        <f t="shared" si="11"/>
        <v>24444</v>
      </c>
      <c r="Z104" s="181"/>
    </row>
    <row r="105" spans="1:26" ht="25" customHeight="1" outlineLevel="1" x14ac:dyDescent="0.35">
      <c r="B105" s="125"/>
      <c r="C105" s="125"/>
      <c r="D105" s="125"/>
      <c r="E105" s="3" t="s">
        <v>114</v>
      </c>
      <c r="F105" s="31" t="s">
        <v>17</v>
      </c>
      <c r="G105" s="35"/>
      <c r="H105" s="57">
        <f t="shared" si="12"/>
        <v>0</v>
      </c>
      <c r="I105" s="57">
        <f t="shared" si="13"/>
        <v>114.2883860108472</v>
      </c>
      <c r="J105" s="58">
        <f t="shared" si="14"/>
        <v>0</v>
      </c>
      <c r="K105" s="125"/>
      <c r="L105" s="42"/>
      <c r="U105" s="179" t="str" cm="1">
        <f t="array" ref="U105">IF(C105="",INDEX(C99:C105,MATCH(TRUE,INDEX((C99:C105&lt;&gt;""),0),0)),C105)</f>
        <v>Britoil 82</v>
      </c>
      <c r="V105" s="180">
        <f t="shared" si="10"/>
        <v>1.1428838601084721</v>
      </c>
      <c r="W105" s="180">
        <v>20000</v>
      </c>
      <c r="X105" s="180"/>
      <c r="Y105" s="180">
        <f t="shared" si="11"/>
        <v>24444</v>
      </c>
      <c r="Z105" s="181"/>
    </row>
    <row r="106" spans="1:26" ht="25" customHeight="1" outlineLevel="1" x14ac:dyDescent="0.35">
      <c r="B106" s="126"/>
      <c r="C106" s="126"/>
      <c r="D106" s="126"/>
      <c r="E106" s="4" t="s">
        <v>14</v>
      </c>
      <c r="F106" s="31" t="s">
        <v>17</v>
      </c>
      <c r="G106" s="39"/>
      <c r="H106" s="65">
        <f t="shared" si="12"/>
        <v>2857.2096502711802</v>
      </c>
      <c r="I106" s="65">
        <f t="shared" si="13"/>
        <v>3657.2283523471106</v>
      </c>
      <c r="J106" s="66">
        <f t="shared" si="14"/>
        <v>12.571722461193193</v>
      </c>
      <c r="K106" s="126"/>
      <c r="L106" s="43"/>
      <c r="U106" s="179" t="str" cm="1">
        <f t="array" ref="U106">IF(C106="",INDEX(C100:C106,MATCH(TRUE,INDEX((C100:C106&lt;&gt;""),0),0)),C106)</f>
        <v>Britoil 82</v>
      </c>
      <c r="V106" s="180">
        <f t="shared" si="10"/>
        <v>1.1428838601084721</v>
      </c>
      <c r="W106" s="180">
        <v>20000</v>
      </c>
      <c r="X106" s="180"/>
      <c r="Y106" s="180">
        <f t="shared" si="11"/>
        <v>24444</v>
      </c>
      <c r="Z106" s="181"/>
    </row>
    <row r="107" spans="1:26" ht="30" customHeight="1" x14ac:dyDescent="0.35">
      <c r="B107" s="121">
        <v>20</v>
      </c>
      <c r="C107" s="121" t="s">
        <v>37</v>
      </c>
      <c r="D107" s="121" t="s">
        <v>38</v>
      </c>
      <c r="E107" s="27" t="s">
        <v>106</v>
      </c>
      <c r="F107" s="32"/>
      <c r="G107" s="37"/>
      <c r="H107" s="61" t="str">
        <f t="shared" si="12"/>
        <v/>
      </c>
      <c r="I107" s="61" t="str">
        <f t="shared" si="13"/>
        <v/>
      </c>
      <c r="J107" s="62" t="str">
        <f t="shared" si="14"/>
        <v/>
      </c>
      <c r="K107" s="121"/>
      <c r="L107" s="44"/>
      <c r="U107" s="179" t="str" cm="1">
        <f t="array" ref="U107">IF(C107="",INDEX(C101:C107,MATCH(TRUE,INDEX((C101:C107&lt;&gt;""),0),0)),C107)</f>
        <v>Britoil 120</v>
      </c>
      <c r="V107" s="180">
        <f t="shared" si="10"/>
        <v>1.3</v>
      </c>
      <c r="W107" s="180">
        <v>33000</v>
      </c>
      <c r="X107" s="180" t="s">
        <v>166</v>
      </c>
      <c r="Y107" s="180">
        <f t="shared" si="11"/>
        <v>37400</v>
      </c>
      <c r="Z107" s="181"/>
    </row>
    <row r="108" spans="1:26" ht="25" customHeight="1" outlineLevel="1" x14ac:dyDescent="0.35">
      <c r="B108" s="122"/>
      <c r="C108" s="122"/>
      <c r="D108" s="122"/>
      <c r="E108" s="6" t="s">
        <v>13</v>
      </c>
      <c r="F108" s="32"/>
      <c r="G108" s="37"/>
      <c r="H108" s="61" t="str">
        <f t="shared" si="12"/>
        <v/>
      </c>
      <c r="I108" s="61" t="str">
        <f t="shared" si="13"/>
        <v/>
      </c>
      <c r="J108" s="62" t="str">
        <f t="shared" si="14"/>
        <v/>
      </c>
      <c r="K108" s="122"/>
      <c r="L108" s="45"/>
      <c r="U108" s="179" t="str" cm="1">
        <f t="array" ref="U108">IF(C108="",INDEX(C102:C108,MATCH(TRUE,INDEX((C102:C108&lt;&gt;""),0),0)),C108)</f>
        <v>Britoil 120</v>
      </c>
      <c r="V108" s="180">
        <f t="shared" si="10"/>
        <v>1.3</v>
      </c>
      <c r="W108" s="180">
        <v>33000</v>
      </c>
      <c r="X108" s="180"/>
      <c r="Y108" s="180">
        <f t="shared" si="11"/>
        <v>37400</v>
      </c>
      <c r="Z108" s="181"/>
    </row>
    <row r="109" spans="1:26" ht="25" customHeight="1" outlineLevel="1" x14ac:dyDescent="0.35">
      <c r="B109" s="122"/>
      <c r="C109" s="122"/>
      <c r="D109" s="122"/>
      <c r="E109" s="6" t="s">
        <v>107</v>
      </c>
      <c r="F109" s="32" t="s">
        <v>17</v>
      </c>
      <c r="G109" s="37">
        <v>45733</v>
      </c>
      <c r="H109" s="61">
        <f t="shared" si="12"/>
        <v>0</v>
      </c>
      <c r="I109" s="61">
        <f t="shared" si="13"/>
        <v>6500</v>
      </c>
      <c r="J109" s="62">
        <f t="shared" si="14"/>
        <v>0</v>
      </c>
      <c r="K109" s="122"/>
      <c r="L109" s="45" t="s">
        <v>132</v>
      </c>
      <c r="U109" s="179" t="str" cm="1">
        <f t="array" ref="U109">IF(C109="",INDEX(C103:C109,MATCH(TRUE,INDEX((C103:C109&lt;&gt;""),0),0)),C109)</f>
        <v>Britoil 120</v>
      </c>
      <c r="V109" s="180">
        <f t="shared" si="10"/>
        <v>1.3</v>
      </c>
      <c r="W109" s="180">
        <v>33000</v>
      </c>
      <c r="X109" s="180"/>
      <c r="Y109" s="180">
        <f t="shared" si="11"/>
        <v>37400</v>
      </c>
      <c r="Z109" s="181"/>
    </row>
    <row r="110" spans="1:26" ht="25" customHeight="1" outlineLevel="1" x14ac:dyDescent="0.35">
      <c r="B110" s="122"/>
      <c r="C110" s="122"/>
      <c r="D110" s="122"/>
      <c r="E110" s="6" t="s">
        <v>113</v>
      </c>
      <c r="F110" s="32"/>
      <c r="G110" s="37"/>
      <c r="H110" s="61" t="str">
        <f t="shared" si="12"/>
        <v/>
      </c>
      <c r="I110" s="61" t="str">
        <f t="shared" si="13"/>
        <v/>
      </c>
      <c r="J110" s="62" t="str">
        <f t="shared" si="14"/>
        <v/>
      </c>
      <c r="K110" s="122"/>
      <c r="L110" s="45"/>
      <c r="U110" s="179" t="str" cm="1">
        <f t="array" ref="U110">IF(C110="",INDEX(C104:C110,MATCH(TRUE,INDEX((C104:C110&lt;&gt;""),0),0)),C110)</f>
        <v>Britoil 120</v>
      </c>
      <c r="V110" s="180">
        <f t="shared" si="10"/>
        <v>1.3</v>
      </c>
      <c r="W110" s="180">
        <v>33000</v>
      </c>
      <c r="X110" s="180"/>
      <c r="Y110" s="180">
        <f t="shared" si="11"/>
        <v>37400</v>
      </c>
      <c r="Z110" s="181"/>
    </row>
    <row r="111" spans="1:26" ht="25" customHeight="1" outlineLevel="1" x14ac:dyDescent="0.35">
      <c r="B111" s="122"/>
      <c r="C111" s="122"/>
      <c r="D111" s="122"/>
      <c r="E111" s="6" t="s">
        <v>114</v>
      </c>
      <c r="F111" s="32"/>
      <c r="G111" s="37"/>
      <c r="H111" s="61" t="str">
        <f t="shared" si="12"/>
        <v/>
      </c>
      <c r="I111" s="61" t="str">
        <f t="shared" si="13"/>
        <v/>
      </c>
      <c r="J111" s="62" t="str">
        <f t="shared" si="14"/>
        <v/>
      </c>
      <c r="K111" s="122"/>
      <c r="L111" s="45"/>
      <c r="U111" s="179" t="str" cm="1">
        <f t="array" ref="U111">IF(C111="",INDEX(C105:C111,MATCH(TRUE,INDEX((C105:C111&lt;&gt;""),0),0)),C111)</f>
        <v>Britoil 120</v>
      </c>
      <c r="V111" s="180">
        <f t="shared" si="10"/>
        <v>1.3</v>
      </c>
      <c r="W111" s="180">
        <v>33000</v>
      </c>
      <c r="X111" s="180"/>
      <c r="Y111" s="180">
        <f t="shared" si="11"/>
        <v>37400</v>
      </c>
      <c r="Z111" s="181"/>
    </row>
    <row r="112" spans="1:26" ht="25" customHeight="1" outlineLevel="1" x14ac:dyDescent="0.35">
      <c r="B112" s="122"/>
      <c r="C112" s="122"/>
      <c r="D112" s="122"/>
      <c r="E112" s="6" t="s">
        <v>110</v>
      </c>
      <c r="F112" s="32"/>
      <c r="G112" s="37"/>
      <c r="H112" s="61" t="str">
        <f t="shared" si="12"/>
        <v/>
      </c>
      <c r="I112" s="61" t="str">
        <f t="shared" si="13"/>
        <v/>
      </c>
      <c r="J112" s="62" t="str">
        <f t="shared" si="14"/>
        <v/>
      </c>
      <c r="K112" s="122"/>
      <c r="L112" s="45"/>
      <c r="U112" s="179" t="str" cm="1">
        <f t="array" ref="U112">IF(C112="",INDEX(C106:C112,MATCH(TRUE,INDEX((C106:C112&lt;&gt;""),0),0)),C112)</f>
        <v>Britoil 120</v>
      </c>
      <c r="V112" s="180">
        <f t="shared" si="10"/>
        <v>1.3</v>
      </c>
      <c r="W112" s="180">
        <v>33000</v>
      </c>
      <c r="X112" s="180"/>
      <c r="Y112" s="180">
        <f t="shared" si="11"/>
        <v>37400</v>
      </c>
      <c r="Z112" s="181"/>
    </row>
    <row r="113" spans="1:26" ht="25" customHeight="1" outlineLevel="1" x14ac:dyDescent="0.35">
      <c r="B113" s="123"/>
      <c r="C113" s="123"/>
      <c r="D113" s="123"/>
      <c r="E113" s="7" t="s">
        <v>14</v>
      </c>
      <c r="F113" s="32" t="s">
        <v>17</v>
      </c>
      <c r="G113" s="37"/>
      <c r="H113" s="61">
        <f t="shared" si="12"/>
        <v>3250</v>
      </c>
      <c r="I113" s="61">
        <f t="shared" si="13"/>
        <v>4160</v>
      </c>
      <c r="J113" s="62">
        <f t="shared" si="14"/>
        <v>14.3</v>
      </c>
      <c r="K113" s="123"/>
      <c r="L113" s="46"/>
      <c r="U113" s="179" t="str" cm="1">
        <f t="array" ref="U113">IF(C113="",INDEX(C107:C113,MATCH(TRUE,INDEX((C107:C113&lt;&gt;""),0),0)),C113)</f>
        <v>Britoil 120</v>
      </c>
      <c r="V113" s="180">
        <f t="shared" si="10"/>
        <v>1.3</v>
      </c>
      <c r="W113" s="180">
        <v>33000</v>
      </c>
      <c r="X113" s="180"/>
      <c r="Y113" s="180">
        <f t="shared" si="11"/>
        <v>37400</v>
      </c>
      <c r="Z113" s="181"/>
    </row>
    <row r="114" spans="1:26" ht="30" customHeight="1" x14ac:dyDescent="0.35">
      <c r="A114" s="8" t="s">
        <v>140</v>
      </c>
      <c r="B114" s="124">
        <v>21</v>
      </c>
      <c r="C114" s="124" t="s">
        <v>39</v>
      </c>
      <c r="D114" s="124" t="s">
        <v>38</v>
      </c>
      <c r="E114" s="26" t="s">
        <v>106</v>
      </c>
      <c r="F114" s="31"/>
      <c r="G114" s="34"/>
      <c r="H114" s="55" t="str">
        <f t="shared" si="12"/>
        <v/>
      </c>
      <c r="I114" s="55" t="str">
        <f t="shared" si="13"/>
        <v/>
      </c>
      <c r="J114" s="56" t="str">
        <f t="shared" si="14"/>
        <v/>
      </c>
      <c r="K114" s="124" t="s">
        <v>153</v>
      </c>
      <c r="L114" s="41"/>
      <c r="U114" s="179" t="str" cm="1">
        <f t="array" ref="U114">IF(C114="",INDEX(C108:C114,MATCH(TRUE,INDEX((C108:C114&lt;&gt;""),0),0)),C114)</f>
        <v>Britoil 121</v>
      </c>
      <c r="V114" s="180">
        <f t="shared" si="10"/>
        <v>1.3</v>
      </c>
      <c r="W114" s="180">
        <v>33000</v>
      </c>
      <c r="X114" s="180" t="s">
        <v>166</v>
      </c>
      <c r="Y114" s="180">
        <f t="shared" si="11"/>
        <v>37400</v>
      </c>
      <c r="Z114" s="181"/>
    </row>
    <row r="115" spans="1:26" ht="25" customHeight="1" outlineLevel="1" x14ac:dyDescent="0.35">
      <c r="B115" s="125"/>
      <c r="C115" s="125"/>
      <c r="D115" s="125"/>
      <c r="E115" s="3" t="s">
        <v>13</v>
      </c>
      <c r="F115" s="31" t="s">
        <v>21</v>
      </c>
      <c r="G115" s="35"/>
      <c r="H115" s="57" t="str">
        <f t="shared" si="12"/>
        <v/>
      </c>
      <c r="I115" s="57" t="str">
        <f t="shared" si="13"/>
        <v/>
      </c>
      <c r="J115" s="58" t="str">
        <f t="shared" si="14"/>
        <v/>
      </c>
      <c r="K115" s="125"/>
      <c r="L115" s="42"/>
      <c r="U115" s="179" t="str" cm="1">
        <f t="array" ref="U115">IF(C115="",INDEX(C109:C115,MATCH(TRUE,INDEX((C109:C115&lt;&gt;""),0),0)),C115)</f>
        <v>Britoil 121</v>
      </c>
      <c r="V115" s="180">
        <f t="shared" si="10"/>
        <v>1.3</v>
      </c>
      <c r="W115" s="180">
        <v>33000</v>
      </c>
      <c r="X115" s="180"/>
      <c r="Y115" s="180">
        <f t="shared" si="11"/>
        <v>37400</v>
      </c>
      <c r="Z115" s="181"/>
    </row>
    <row r="116" spans="1:26" ht="25" customHeight="1" outlineLevel="1" x14ac:dyDescent="0.35">
      <c r="B116" s="125"/>
      <c r="C116" s="125"/>
      <c r="D116" s="125"/>
      <c r="E116" s="3" t="s">
        <v>113</v>
      </c>
      <c r="F116" s="31" t="s">
        <v>21</v>
      </c>
      <c r="G116" s="35"/>
      <c r="H116" s="57" t="str">
        <f t="shared" si="12"/>
        <v/>
      </c>
      <c r="I116" s="57" t="str">
        <f t="shared" si="13"/>
        <v/>
      </c>
      <c r="J116" s="58" t="str">
        <f t="shared" si="14"/>
        <v/>
      </c>
      <c r="K116" s="125"/>
      <c r="L116" s="42"/>
      <c r="U116" s="179" t="str" cm="1">
        <f t="array" ref="U116">IF(C116="",INDEX(C110:C116,MATCH(TRUE,INDEX((C110:C116&lt;&gt;""),0),0)),C116)</f>
        <v>Britoil 121</v>
      </c>
      <c r="V116" s="180">
        <f t="shared" si="10"/>
        <v>1.3</v>
      </c>
      <c r="W116" s="180">
        <v>33000</v>
      </c>
      <c r="X116" s="180"/>
      <c r="Y116" s="180">
        <f t="shared" si="11"/>
        <v>37400</v>
      </c>
      <c r="Z116" s="181"/>
    </row>
    <row r="117" spans="1:26" ht="25" customHeight="1" outlineLevel="1" x14ac:dyDescent="0.35">
      <c r="B117" s="125"/>
      <c r="C117" s="125"/>
      <c r="D117" s="125"/>
      <c r="E117" s="3" t="s">
        <v>114</v>
      </c>
      <c r="F117" s="31" t="s">
        <v>17</v>
      </c>
      <c r="G117" s="35"/>
      <c r="H117" s="57">
        <f t="shared" si="12"/>
        <v>0</v>
      </c>
      <c r="I117" s="57">
        <f t="shared" si="13"/>
        <v>130</v>
      </c>
      <c r="J117" s="58">
        <f t="shared" si="14"/>
        <v>0</v>
      </c>
      <c r="K117" s="125"/>
      <c r="L117" s="42" t="s">
        <v>154</v>
      </c>
      <c r="U117" s="179" t="str" cm="1">
        <f t="array" ref="U117">IF(C117="",INDEX(C111:C117,MATCH(TRUE,INDEX((C111:C117&lt;&gt;""),0),0)),C117)</f>
        <v>Britoil 121</v>
      </c>
      <c r="V117" s="180">
        <f t="shared" si="10"/>
        <v>1.3</v>
      </c>
      <c r="W117" s="180">
        <v>33000</v>
      </c>
      <c r="X117" s="180"/>
      <c r="Y117" s="180">
        <f t="shared" si="11"/>
        <v>37400</v>
      </c>
      <c r="Z117" s="181"/>
    </row>
    <row r="118" spans="1:26" ht="25" customHeight="1" outlineLevel="1" x14ac:dyDescent="0.35">
      <c r="B118" s="125"/>
      <c r="C118" s="125"/>
      <c r="D118" s="125"/>
      <c r="E118" s="3" t="s">
        <v>110</v>
      </c>
      <c r="F118" s="31" t="s">
        <v>21</v>
      </c>
      <c r="G118" s="35"/>
      <c r="H118" s="57" t="str">
        <f t="shared" si="12"/>
        <v/>
      </c>
      <c r="I118" s="57" t="str">
        <f t="shared" si="13"/>
        <v/>
      </c>
      <c r="J118" s="58" t="str">
        <f t="shared" si="14"/>
        <v/>
      </c>
      <c r="K118" s="125"/>
      <c r="L118" s="42"/>
      <c r="U118" s="179" t="str" cm="1">
        <f t="array" ref="U118">IF(C118="",INDEX(C112:C118,MATCH(TRUE,INDEX((C112:C118&lt;&gt;""),0),0)),C118)</f>
        <v>Britoil 121</v>
      </c>
      <c r="V118" s="180">
        <f t="shared" si="10"/>
        <v>1.3</v>
      </c>
      <c r="W118" s="180">
        <v>33000</v>
      </c>
      <c r="X118" s="180"/>
      <c r="Y118" s="180">
        <f t="shared" si="11"/>
        <v>37400</v>
      </c>
      <c r="Z118" s="181"/>
    </row>
    <row r="119" spans="1:26" ht="25" customHeight="1" outlineLevel="1" x14ac:dyDescent="0.35">
      <c r="B119" s="126"/>
      <c r="C119" s="126"/>
      <c r="D119" s="126"/>
      <c r="E119" s="4" t="s">
        <v>14</v>
      </c>
      <c r="F119" s="31" t="s">
        <v>17</v>
      </c>
      <c r="G119" s="39"/>
      <c r="H119" s="65">
        <f t="shared" si="12"/>
        <v>3250</v>
      </c>
      <c r="I119" s="65">
        <f t="shared" si="13"/>
        <v>4160</v>
      </c>
      <c r="J119" s="66">
        <f t="shared" si="14"/>
        <v>14.3</v>
      </c>
      <c r="K119" s="126"/>
      <c r="L119" s="43"/>
      <c r="U119" s="179" t="str" cm="1">
        <f t="array" ref="U119">IF(C119="",INDEX(C113:C119,MATCH(TRUE,INDEX((C113:C119&lt;&gt;""),0),0)),C119)</f>
        <v>Britoil 121</v>
      </c>
      <c r="V119" s="180">
        <f t="shared" si="10"/>
        <v>1.3</v>
      </c>
      <c r="W119" s="180">
        <v>33000</v>
      </c>
      <c r="X119" s="180"/>
      <c r="Y119" s="180">
        <f t="shared" si="11"/>
        <v>37400</v>
      </c>
      <c r="Z119" s="181"/>
    </row>
    <row r="120" spans="1:26" ht="30" customHeight="1" x14ac:dyDescent="0.35">
      <c r="B120" s="121">
        <v>22</v>
      </c>
      <c r="C120" s="121" t="s">
        <v>40</v>
      </c>
      <c r="D120" s="121" t="s">
        <v>41</v>
      </c>
      <c r="E120" s="27" t="s">
        <v>106</v>
      </c>
      <c r="F120" s="32"/>
      <c r="G120" s="37"/>
      <c r="H120" s="61" t="str">
        <f t="shared" si="12"/>
        <v/>
      </c>
      <c r="I120" s="61" t="str">
        <f t="shared" si="13"/>
        <v/>
      </c>
      <c r="J120" s="62" t="str">
        <f t="shared" si="14"/>
        <v/>
      </c>
      <c r="K120" s="6"/>
      <c r="L120" s="44"/>
      <c r="U120" s="179" t="str" cm="1">
        <f t="array" ref="U120">IF(C120="",INDEX(C114:C120,MATCH(TRUE,INDEX((C114:C120&lt;&gt;""),0),0)),C120)</f>
        <v>Britoil Destiny</v>
      </c>
      <c r="V120" s="180">
        <f t="shared" si="10"/>
        <v>0.98087712736113708</v>
      </c>
      <c r="W120" s="180">
        <v>21600</v>
      </c>
      <c r="X120" s="180"/>
      <c r="Y120" s="180">
        <f t="shared" si="11"/>
        <v>20979</v>
      </c>
      <c r="Z120" s="181"/>
    </row>
    <row r="121" spans="1:26" ht="25" customHeight="1" outlineLevel="1" x14ac:dyDescent="0.35">
      <c r="B121" s="122"/>
      <c r="C121" s="122"/>
      <c r="D121" s="122"/>
      <c r="E121" s="6" t="s">
        <v>13</v>
      </c>
      <c r="F121" s="32"/>
      <c r="G121" s="37"/>
      <c r="H121" s="61" t="str">
        <f t="shared" si="12"/>
        <v/>
      </c>
      <c r="I121" s="61" t="str">
        <f t="shared" si="13"/>
        <v/>
      </c>
      <c r="J121" s="62" t="str">
        <f t="shared" si="14"/>
        <v/>
      </c>
      <c r="K121" s="6"/>
      <c r="L121" s="45"/>
      <c r="U121" s="179" t="str" cm="1">
        <f t="array" ref="U121">IF(C121="",INDEX(C115:C121,MATCH(TRUE,INDEX((C115:C121&lt;&gt;""),0),0)),C121)</f>
        <v>Britoil Destiny</v>
      </c>
      <c r="V121" s="180">
        <f t="shared" si="10"/>
        <v>0.98087712736113708</v>
      </c>
      <c r="W121" s="180">
        <v>21600</v>
      </c>
      <c r="X121" s="180"/>
      <c r="Y121" s="180">
        <f t="shared" si="11"/>
        <v>20979</v>
      </c>
      <c r="Z121" s="181"/>
    </row>
    <row r="122" spans="1:26" ht="25" customHeight="1" outlineLevel="1" x14ac:dyDescent="0.35">
      <c r="B122" s="122"/>
      <c r="C122" s="122"/>
      <c r="D122" s="122"/>
      <c r="E122" s="6" t="s">
        <v>107</v>
      </c>
      <c r="F122" s="32" t="s">
        <v>32</v>
      </c>
      <c r="G122" s="37"/>
      <c r="H122" s="61" t="str">
        <f t="shared" si="12"/>
        <v/>
      </c>
      <c r="I122" s="61" t="str">
        <f t="shared" si="13"/>
        <v/>
      </c>
      <c r="J122" s="62" t="str">
        <f t="shared" si="14"/>
        <v/>
      </c>
      <c r="K122" s="6"/>
      <c r="L122" s="45"/>
      <c r="U122" s="179" t="str" cm="1">
        <f t="array" ref="U122">IF(C122="",INDEX(C116:C122,MATCH(TRUE,INDEX((C116:C122&lt;&gt;""),0),0)),C122)</f>
        <v>Britoil Destiny</v>
      </c>
      <c r="V122" s="180">
        <f t="shared" si="10"/>
        <v>0.98087712736113708</v>
      </c>
      <c r="W122" s="180">
        <v>21600</v>
      </c>
      <c r="X122" s="180"/>
      <c r="Y122" s="180">
        <f t="shared" si="11"/>
        <v>20979</v>
      </c>
      <c r="Z122" s="181"/>
    </row>
    <row r="123" spans="1:26" ht="25" customHeight="1" outlineLevel="1" x14ac:dyDescent="0.35">
      <c r="B123" s="122"/>
      <c r="C123" s="122"/>
      <c r="D123" s="122"/>
      <c r="E123" s="6" t="s">
        <v>110</v>
      </c>
      <c r="F123" s="32"/>
      <c r="G123" s="37"/>
      <c r="H123" s="61" t="str">
        <f t="shared" si="12"/>
        <v/>
      </c>
      <c r="I123" s="61" t="str">
        <f t="shared" si="13"/>
        <v/>
      </c>
      <c r="J123" s="62" t="str">
        <f t="shared" si="14"/>
        <v/>
      </c>
      <c r="K123" s="6"/>
      <c r="L123" s="45"/>
      <c r="U123" s="179" t="str" cm="1">
        <f t="array" ref="U123">IF(C123="",INDEX(C117:C123,MATCH(TRUE,INDEX((C117:C123&lt;&gt;""),0),0)),C123)</f>
        <v>Britoil Destiny</v>
      </c>
      <c r="V123" s="180">
        <f t="shared" si="10"/>
        <v>0.98087712736113708</v>
      </c>
      <c r="W123" s="180">
        <v>21600</v>
      </c>
      <c r="X123" s="180"/>
      <c r="Y123" s="180">
        <f t="shared" si="11"/>
        <v>20979</v>
      </c>
      <c r="Z123" s="181"/>
    </row>
    <row r="124" spans="1:26" ht="25" customHeight="1" outlineLevel="1" x14ac:dyDescent="0.35">
      <c r="B124" s="122"/>
      <c r="C124" s="122"/>
      <c r="D124" s="122"/>
      <c r="E124" s="6" t="s">
        <v>113</v>
      </c>
      <c r="F124" s="32" t="s">
        <v>21</v>
      </c>
      <c r="G124" s="37"/>
      <c r="H124" s="61" t="str">
        <f t="shared" si="12"/>
        <v/>
      </c>
      <c r="I124" s="61" t="str">
        <f t="shared" si="13"/>
        <v/>
      </c>
      <c r="J124" s="62" t="str">
        <f t="shared" si="14"/>
        <v/>
      </c>
      <c r="K124" s="6"/>
      <c r="L124" s="45"/>
      <c r="U124" s="179" t="str" cm="1">
        <f t="array" ref="U124">IF(C124="",INDEX(C118:C124,MATCH(TRUE,INDEX((C118:C124&lt;&gt;""),0),0)),C124)</f>
        <v>Britoil Destiny</v>
      </c>
      <c r="V124" s="180">
        <f t="shared" si="10"/>
        <v>0.98087712736113708</v>
      </c>
      <c r="W124" s="180">
        <v>21600</v>
      </c>
      <c r="X124" s="180"/>
      <c r="Y124" s="180">
        <f t="shared" si="11"/>
        <v>20979</v>
      </c>
      <c r="Z124" s="181"/>
    </row>
    <row r="125" spans="1:26" ht="25" customHeight="1" outlineLevel="1" x14ac:dyDescent="0.35">
      <c r="B125" s="122"/>
      <c r="C125" s="122"/>
      <c r="D125" s="122"/>
      <c r="E125" s="6" t="s">
        <v>114</v>
      </c>
      <c r="F125" s="32"/>
      <c r="G125" s="37"/>
      <c r="H125" s="61" t="str">
        <f t="shared" si="12"/>
        <v/>
      </c>
      <c r="I125" s="61" t="str">
        <f t="shared" si="13"/>
        <v/>
      </c>
      <c r="J125" s="62" t="str">
        <f t="shared" si="14"/>
        <v/>
      </c>
      <c r="K125" s="6"/>
      <c r="L125" s="45"/>
      <c r="U125" s="179" t="str" cm="1">
        <f t="array" ref="U125">IF(C125="",INDEX(C119:C125,MATCH(TRUE,INDEX((C119:C125&lt;&gt;""),0),0)),C125)</f>
        <v>Britoil Destiny</v>
      </c>
      <c r="V125" s="180">
        <f t="shared" si="10"/>
        <v>0.98087712736113708</v>
      </c>
      <c r="W125" s="180">
        <v>21600</v>
      </c>
      <c r="X125" s="180"/>
      <c r="Y125" s="180">
        <f t="shared" si="11"/>
        <v>20979</v>
      </c>
      <c r="Z125" s="181"/>
    </row>
    <row r="126" spans="1:26" ht="25" customHeight="1" outlineLevel="1" x14ac:dyDescent="0.35">
      <c r="B126" s="123"/>
      <c r="C126" s="123"/>
      <c r="D126" s="123"/>
      <c r="E126" s="7" t="s">
        <v>14</v>
      </c>
      <c r="F126" s="32" t="s">
        <v>109</v>
      </c>
      <c r="G126" s="37"/>
      <c r="H126" s="61" t="str">
        <f t="shared" si="12"/>
        <v/>
      </c>
      <c r="I126" s="61" t="str">
        <f t="shared" si="13"/>
        <v/>
      </c>
      <c r="J126" s="62" t="str">
        <f t="shared" si="14"/>
        <v/>
      </c>
      <c r="K126" s="6"/>
      <c r="L126" s="46"/>
      <c r="U126" s="179" t="str" cm="1">
        <f t="array" ref="U126">IF(C126="",INDEX(C120:C126,MATCH(TRUE,INDEX((C120:C126&lt;&gt;""),0),0)),C126)</f>
        <v>Britoil Destiny</v>
      </c>
      <c r="V126" s="180">
        <f t="shared" si="10"/>
        <v>0.98087712736113708</v>
      </c>
      <c r="W126" s="180">
        <v>21600</v>
      </c>
      <c r="X126" s="180"/>
      <c r="Y126" s="180">
        <f t="shared" si="11"/>
        <v>20979</v>
      </c>
      <c r="Z126" s="181"/>
    </row>
    <row r="127" spans="1:26" ht="30" customHeight="1" x14ac:dyDescent="0.35">
      <c r="A127" s="8" t="s">
        <v>140</v>
      </c>
      <c r="B127" s="124">
        <v>23</v>
      </c>
      <c r="C127" s="124" t="s">
        <v>42</v>
      </c>
      <c r="D127" s="124" t="s">
        <v>41</v>
      </c>
      <c r="E127" s="26" t="s">
        <v>106</v>
      </c>
      <c r="F127" s="31"/>
      <c r="G127" s="34"/>
      <c r="H127" s="55" t="str">
        <f t="shared" si="12"/>
        <v/>
      </c>
      <c r="I127" s="55" t="str">
        <f t="shared" si="13"/>
        <v/>
      </c>
      <c r="J127" s="56" t="str">
        <f t="shared" si="14"/>
        <v/>
      </c>
      <c r="K127" s="2"/>
      <c r="L127" s="41"/>
      <c r="U127" s="179" t="str" cm="1">
        <f t="array" ref="U127">IF(C127="",INDEX(C121:C127,MATCH(TRUE,INDEX((C121:C127&lt;&gt;""),0),0)),C127)</f>
        <v>Britoil Discovery</v>
      </c>
      <c r="V127" s="180">
        <f t="shared" si="10"/>
        <v>1</v>
      </c>
      <c r="W127" s="180">
        <v>21600</v>
      </c>
      <c r="X127" s="180" t="s">
        <v>165</v>
      </c>
      <c r="Y127" s="180">
        <f t="shared" si="11"/>
        <v>21388</v>
      </c>
      <c r="Z127" s="181"/>
    </row>
    <row r="128" spans="1:26" ht="25" customHeight="1" outlineLevel="1" x14ac:dyDescent="0.35">
      <c r="B128" s="125"/>
      <c r="C128" s="125"/>
      <c r="D128" s="125"/>
      <c r="E128" s="3" t="s">
        <v>13</v>
      </c>
      <c r="F128" s="31" t="s">
        <v>17</v>
      </c>
      <c r="G128" s="35"/>
      <c r="H128" s="57">
        <f t="shared" si="12"/>
        <v>12000</v>
      </c>
      <c r="I128" s="57">
        <f t="shared" si="13"/>
        <v>3200</v>
      </c>
      <c r="J128" s="58">
        <f t="shared" si="14"/>
        <v>64</v>
      </c>
      <c r="K128" s="3"/>
      <c r="L128" s="42"/>
      <c r="U128" s="179" t="str" cm="1">
        <f t="array" ref="U128">IF(C128="",INDEX(C122:C128,MATCH(TRUE,INDEX((C122:C128&lt;&gt;""),0),0)),C128)</f>
        <v>Britoil Discovery</v>
      </c>
      <c r="V128" s="180">
        <f t="shared" si="10"/>
        <v>1</v>
      </c>
      <c r="W128" s="180">
        <v>21600</v>
      </c>
      <c r="X128" s="180"/>
      <c r="Y128" s="180">
        <f t="shared" si="11"/>
        <v>21388</v>
      </c>
      <c r="Z128" s="181"/>
    </row>
    <row r="129" spans="1:26" ht="25" customHeight="1" outlineLevel="1" x14ac:dyDescent="0.35">
      <c r="B129" s="125"/>
      <c r="C129" s="125"/>
      <c r="D129" s="125"/>
      <c r="E129" s="3" t="s">
        <v>113</v>
      </c>
      <c r="F129" s="31" t="s">
        <v>21</v>
      </c>
      <c r="G129" s="35"/>
      <c r="H129" s="57" t="str">
        <f t="shared" si="12"/>
        <v/>
      </c>
      <c r="I129" s="57" t="str">
        <f t="shared" si="13"/>
        <v/>
      </c>
      <c r="J129" s="58" t="str">
        <f t="shared" si="14"/>
        <v/>
      </c>
      <c r="K129" s="3"/>
      <c r="L129" s="42"/>
      <c r="U129" s="179" t="str" cm="1">
        <f t="array" ref="U129">IF(C129="",INDEX(C123:C129,MATCH(TRUE,INDEX((C123:C129&lt;&gt;""),0),0)),C129)</f>
        <v>Britoil Discovery</v>
      </c>
      <c r="V129" s="180">
        <f t="shared" si="10"/>
        <v>1</v>
      </c>
      <c r="W129" s="180">
        <v>21600</v>
      </c>
      <c r="X129" s="180"/>
      <c r="Y129" s="180">
        <f t="shared" si="11"/>
        <v>21388</v>
      </c>
      <c r="Z129" s="181"/>
    </row>
    <row r="130" spans="1:26" ht="25" customHeight="1" outlineLevel="1" x14ac:dyDescent="0.35">
      <c r="B130" s="125"/>
      <c r="C130" s="125"/>
      <c r="D130" s="125"/>
      <c r="E130" s="3" t="s">
        <v>114</v>
      </c>
      <c r="F130" s="31" t="s">
        <v>17</v>
      </c>
      <c r="G130" s="35"/>
      <c r="H130" s="57">
        <f t="shared" si="12"/>
        <v>0</v>
      </c>
      <c r="I130" s="57">
        <f t="shared" si="13"/>
        <v>100</v>
      </c>
      <c r="J130" s="58">
        <f t="shared" si="14"/>
        <v>0</v>
      </c>
      <c r="K130" s="3"/>
      <c r="L130" s="42"/>
      <c r="U130" s="179" t="str" cm="1">
        <f t="array" ref="U130">IF(C130="",INDEX(C124:C130,MATCH(TRUE,INDEX((C124:C130&lt;&gt;""),0),0)),C130)</f>
        <v>Britoil Discovery</v>
      </c>
      <c r="V130" s="180">
        <f t="shared" si="10"/>
        <v>1</v>
      </c>
      <c r="W130" s="180">
        <v>21600</v>
      </c>
      <c r="X130" s="180"/>
      <c r="Y130" s="180">
        <f t="shared" si="11"/>
        <v>21388</v>
      </c>
      <c r="Z130" s="181"/>
    </row>
    <row r="131" spans="1:26" ht="25" customHeight="1" outlineLevel="1" x14ac:dyDescent="0.35">
      <c r="B131" s="125"/>
      <c r="C131" s="125"/>
      <c r="D131" s="125"/>
      <c r="E131" s="3" t="s">
        <v>110</v>
      </c>
      <c r="F131" s="31" t="s">
        <v>17</v>
      </c>
      <c r="G131" s="35"/>
      <c r="H131" s="67">
        <f t="shared" si="12"/>
        <v>8300</v>
      </c>
      <c r="I131" s="67">
        <f t="shared" si="13"/>
        <v>1000</v>
      </c>
      <c r="J131" s="58">
        <f t="shared" si="14"/>
        <v>45</v>
      </c>
      <c r="K131" s="3"/>
      <c r="L131" s="42"/>
      <c r="U131" s="179" t="str" cm="1">
        <f t="array" ref="U131">IF(C131="",INDEX(C125:C131,MATCH(TRUE,INDEX((C125:C131&lt;&gt;""),0),0)),C131)</f>
        <v>Britoil Discovery</v>
      </c>
      <c r="V131" s="180">
        <f t="shared" si="10"/>
        <v>1</v>
      </c>
      <c r="W131" s="180">
        <v>21600</v>
      </c>
      <c r="X131" s="180"/>
      <c r="Y131" s="180">
        <f t="shared" si="11"/>
        <v>21388</v>
      </c>
      <c r="Z131" s="181"/>
    </row>
    <row r="132" spans="1:26" ht="25" customHeight="1" outlineLevel="1" x14ac:dyDescent="0.35">
      <c r="B132" s="126"/>
      <c r="C132" s="126"/>
      <c r="D132" s="126"/>
      <c r="E132" s="4" t="s">
        <v>14</v>
      </c>
      <c r="F132" s="31" t="s">
        <v>109</v>
      </c>
      <c r="G132" s="39"/>
      <c r="H132" s="65" t="str">
        <f t="shared" si="12"/>
        <v/>
      </c>
      <c r="I132" s="65" t="str">
        <f t="shared" si="13"/>
        <v/>
      </c>
      <c r="J132" s="66" t="str">
        <f t="shared" si="14"/>
        <v/>
      </c>
      <c r="K132" s="4"/>
      <c r="L132" s="43"/>
      <c r="U132" s="179" t="str" cm="1">
        <f t="array" ref="U132">IF(C132="",INDEX(C126:C132,MATCH(TRUE,INDEX((C126:C132&lt;&gt;""),0),0)),C132)</f>
        <v>Britoil Discovery</v>
      </c>
      <c r="V132" s="180">
        <f t="shared" si="10"/>
        <v>1</v>
      </c>
      <c r="W132" s="180">
        <v>21600</v>
      </c>
      <c r="X132" s="180"/>
      <c r="Y132" s="180">
        <f t="shared" si="11"/>
        <v>21388</v>
      </c>
      <c r="Z132" s="181"/>
    </row>
    <row r="133" spans="1:26" ht="30" customHeight="1" x14ac:dyDescent="0.35">
      <c r="A133" s="8" t="s">
        <v>140</v>
      </c>
      <c r="B133" s="121">
        <v>24</v>
      </c>
      <c r="C133" s="121" t="s">
        <v>43</v>
      </c>
      <c r="D133" s="121" t="s">
        <v>41</v>
      </c>
      <c r="E133" s="27" t="s">
        <v>106</v>
      </c>
      <c r="F133" s="32"/>
      <c r="G133" s="37"/>
      <c r="H133" s="61" t="str">
        <f t="shared" si="12"/>
        <v/>
      </c>
      <c r="I133" s="61" t="str">
        <f t="shared" si="13"/>
        <v/>
      </c>
      <c r="J133" s="62" t="str">
        <f t="shared" si="14"/>
        <v/>
      </c>
      <c r="K133" s="6"/>
      <c r="L133" s="44"/>
      <c r="U133" s="179" t="str" cm="1">
        <f t="array" ref="U133">IF(C133="",INDEX(C127:C133,MATCH(TRUE,INDEX((C127:C133&lt;&gt;""),0),0)),C133)</f>
        <v>Britoil Dragon</v>
      </c>
      <c r="V133" s="180">
        <f t="shared" si="10"/>
        <v>0.98087712736113708</v>
      </c>
      <c r="W133" s="180">
        <v>21600</v>
      </c>
      <c r="X133" s="180"/>
      <c r="Y133" s="180">
        <f t="shared" si="11"/>
        <v>20979</v>
      </c>
      <c r="Z133" s="181"/>
    </row>
    <row r="134" spans="1:26" ht="25" customHeight="1" outlineLevel="1" x14ac:dyDescent="0.35">
      <c r="B134" s="122"/>
      <c r="C134" s="122"/>
      <c r="D134" s="122"/>
      <c r="E134" s="6" t="s">
        <v>13</v>
      </c>
      <c r="F134" s="32" t="s">
        <v>109</v>
      </c>
      <c r="G134" s="37"/>
      <c r="H134" s="61" t="str">
        <f t="shared" si="12"/>
        <v/>
      </c>
      <c r="I134" s="61" t="str">
        <f t="shared" si="13"/>
        <v/>
      </c>
      <c r="J134" s="62" t="str">
        <f t="shared" si="14"/>
        <v/>
      </c>
      <c r="K134" s="6"/>
      <c r="L134" s="45"/>
      <c r="U134" s="179" t="str" cm="1">
        <f t="array" ref="U134">IF(C134="",INDEX(C128:C134,MATCH(TRUE,INDEX((C128:C134&lt;&gt;""),0),0)),C134)</f>
        <v>Britoil Dragon</v>
      </c>
      <c r="V134" s="180">
        <f t="shared" si="10"/>
        <v>0.98087712736113708</v>
      </c>
      <c r="W134" s="180">
        <v>21600</v>
      </c>
      <c r="X134" s="180"/>
      <c r="Y134" s="180">
        <f t="shared" si="11"/>
        <v>20979</v>
      </c>
      <c r="Z134" s="181"/>
    </row>
    <row r="135" spans="1:26" ht="25" customHeight="1" outlineLevel="1" x14ac:dyDescent="0.35">
      <c r="B135" s="122"/>
      <c r="C135" s="122"/>
      <c r="D135" s="122"/>
      <c r="E135" s="6" t="s">
        <v>107</v>
      </c>
      <c r="F135" s="32" t="s">
        <v>32</v>
      </c>
      <c r="G135" s="37"/>
      <c r="H135" s="61" t="str">
        <f t="shared" si="12"/>
        <v/>
      </c>
      <c r="I135" s="61" t="str">
        <f t="shared" si="13"/>
        <v/>
      </c>
      <c r="J135" s="62" t="str">
        <f t="shared" si="14"/>
        <v/>
      </c>
      <c r="K135" s="6"/>
      <c r="L135" s="45"/>
      <c r="U135" s="179" t="str" cm="1">
        <f t="array" ref="U135">IF(C135="",INDEX(C129:C135,MATCH(TRUE,INDEX((C129:C135&lt;&gt;""),0),0)),C135)</f>
        <v>Britoil Dragon</v>
      </c>
      <c r="V135" s="180">
        <f t="shared" si="10"/>
        <v>0.98087712736113708</v>
      </c>
      <c r="W135" s="180">
        <v>21600</v>
      </c>
      <c r="X135" s="180"/>
      <c r="Y135" s="180">
        <f t="shared" si="11"/>
        <v>20979</v>
      </c>
      <c r="Z135" s="181"/>
    </row>
    <row r="136" spans="1:26" ht="25" customHeight="1" outlineLevel="1" x14ac:dyDescent="0.35">
      <c r="B136" s="122"/>
      <c r="C136" s="122"/>
      <c r="D136" s="122"/>
      <c r="E136" s="6" t="s">
        <v>110</v>
      </c>
      <c r="F136" s="32" t="s">
        <v>21</v>
      </c>
      <c r="G136" s="37"/>
      <c r="H136" s="61" t="str">
        <f t="shared" si="12"/>
        <v/>
      </c>
      <c r="I136" s="61" t="str">
        <f t="shared" si="13"/>
        <v/>
      </c>
      <c r="J136" s="62" t="str">
        <f t="shared" si="14"/>
        <v/>
      </c>
      <c r="K136" s="6"/>
      <c r="L136" s="45"/>
      <c r="U136" s="179" t="str" cm="1">
        <f t="array" ref="U136">IF(C136="",INDEX(C130:C136,MATCH(TRUE,INDEX((C130:C136&lt;&gt;""),0),0)),C136)</f>
        <v>Britoil Dragon</v>
      </c>
      <c r="V136" s="180">
        <f t="shared" si="10"/>
        <v>0.98087712736113708</v>
      </c>
      <c r="W136" s="180">
        <v>21600</v>
      </c>
      <c r="X136" s="180"/>
      <c r="Y136" s="180">
        <f t="shared" si="11"/>
        <v>20979</v>
      </c>
      <c r="Z136" s="181"/>
    </row>
    <row r="137" spans="1:26" ht="25" customHeight="1" outlineLevel="1" x14ac:dyDescent="0.35">
      <c r="B137" s="122"/>
      <c r="C137" s="122"/>
      <c r="D137" s="122"/>
      <c r="E137" s="6" t="s">
        <v>113</v>
      </c>
      <c r="F137" s="32" t="s">
        <v>21</v>
      </c>
      <c r="G137" s="37"/>
      <c r="H137" s="61" t="str">
        <f t="shared" si="12"/>
        <v/>
      </c>
      <c r="I137" s="61" t="str">
        <f t="shared" si="13"/>
        <v/>
      </c>
      <c r="J137" s="62" t="str">
        <f t="shared" si="14"/>
        <v/>
      </c>
      <c r="K137" s="6"/>
      <c r="L137" s="45"/>
      <c r="U137" s="179" t="str" cm="1">
        <f t="array" ref="U137">IF(C137="",INDEX(C131:C137,MATCH(TRUE,INDEX((C131:C137&lt;&gt;""),0),0)),C137)</f>
        <v>Britoil Dragon</v>
      </c>
      <c r="V137" s="180">
        <f t="shared" si="10"/>
        <v>0.98087712736113708</v>
      </c>
      <c r="W137" s="180">
        <v>21600</v>
      </c>
      <c r="X137" s="180"/>
      <c r="Y137" s="180">
        <f t="shared" si="11"/>
        <v>20979</v>
      </c>
      <c r="Z137" s="181"/>
    </row>
    <row r="138" spans="1:26" ht="25" customHeight="1" outlineLevel="1" x14ac:dyDescent="0.35">
      <c r="B138" s="122"/>
      <c r="C138" s="122"/>
      <c r="D138" s="122"/>
      <c r="E138" s="6" t="s">
        <v>114</v>
      </c>
      <c r="F138" s="32" t="s">
        <v>17</v>
      </c>
      <c r="G138" s="37"/>
      <c r="H138" s="61">
        <f t="shared" si="12"/>
        <v>0</v>
      </c>
      <c r="I138" s="61">
        <f t="shared" si="13"/>
        <v>98.087712736113701</v>
      </c>
      <c r="J138" s="62">
        <f t="shared" si="14"/>
        <v>0</v>
      </c>
      <c r="K138" s="6"/>
      <c r="L138" s="45"/>
      <c r="U138" s="179" t="str" cm="1">
        <f t="array" ref="U138">IF(C138="",INDEX(C132:C138,MATCH(TRUE,INDEX((C132:C138&lt;&gt;""),0),0)),C138)</f>
        <v>Britoil Dragon</v>
      </c>
      <c r="V138" s="180">
        <f t="shared" ref="V138:V201" si="15">MIN(Y138/21388,1.3)</f>
        <v>0.98087712736113708</v>
      </c>
      <c r="W138" s="180">
        <v>21600</v>
      </c>
      <c r="X138" s="180"/>
      <c r="Y138" s="180">
        <f t="shared" ref="Y138:Y201" si="16">INT(VLOOKUP(U138, $AB$30:$AH$96, 7, FALSE))</f>
        <v>20979</v>
      </c>
      <c r="Z138" s="181"/>
    </row>
    <row r="139" spans="1:26" ht="25" customHeight="1" outlineLevel="1" x14ac:dyDescent="0.35">
      <c r="B139" s="122"/>
      <c r="C139" s="122"/>
      <c r="D139" s="122"/>
      <c r="E139" s="6" t="s">
        <v>198</v>
      </c>
      <c r="F139" s="32" t="s">
        <v>21</v>
      </c>
      <c r="G139" s="37"/>
      <c r="H139" s="61"/>
      <c r="I139" s="61"/>
      <c r="J139" s="62"/>
      <c r="K139" s="6"/>
      <c r="L139" s="45"/>
      <c r="U139" s="179" t="str" cm="1">
        <f t="array" ref="U139">IF(C139="",INDEX(C133:C139,MATCH(TRUE,INDEX((C133:C139&lt;&gt;""),0),0)),C139)</f>
        <v>Britoil Dragon</v>
      </c>
      <c r="V139" s="180">
        <f t="shared" si="15"/>
        <v>0.98087712736113708</v>
      </c>
      <c r="W139" s="180">
        <v>21600</v>
      </c>
      <c r="X139" s="180"/>
      <c r="Y139" s="180">
        <f t="shared" si="16"/>
        <v>20979</v>
      </c>
      <c r="Z139" s="181"/>
    </row>
    <row r="140" spans="1:26" ht="25" customHeight="1" outlineLevel="1" x14ac:dyDescent="0.35">
      <c r="B140" s="123"/>
      <c r="C140" s="123"/>
      <c r="D140" s="123"/>
      <c r="E140" s="7" t="s">
        <v>14</v>
      </c>
      <c r="F140" s="32" t="s">
        <v>109</v>
      </c>
      <c r="G140" s="37"/>
      <c r="H140" s="61" t="str">
        <f t="shared" si="12"/>
        <v/>
      </c>
      <c r="I140" s="61" t="str">
        <f t="shared" si="13"/>
        <v/>
      </c>
      <c r="J140" s="62" t="str">
        <f t="shared" si="14"/>
        <v/>
      </c>
      <c r="K140" s="6"/>
      <c r="L140" s="46"/>
      <c r="U140" s="179" t="str" cm="1">
        <f t="array" ref="U140">IF(C140="",INDEX(C133:C140,MATCH(TRUE,INDEX((C133:C140&lt;&gt;""),0),0)),C140)</f>
        <v>Britoil Dragon</v>
      </c>
      <c r="V140" s="180">
        <f t="shared" si="15"/>
        <v>0.98087712736113708</v>
      </c>
      <c r="W140" s="180">
        <v>21600</v>
      </c>
      <c r="X140" s="180"/>
      <c r="Y140" s="180">
        <f t="shared" si="16"/>
        <v>20979</v>
      </c>
      <c r="Z140" s="181"/>
    </row>
    <row r="141" spans="1:26" ht="30" customHeight="1" x14ac:dyDescent="0.35">
      <c r="A141" s="8" t="s">
        <v>140</v>
      </c>
      <c r="B141" s="124">
        <v>25</v>
      </c>
      <c r="C141" s="124" t="s">
        <v>44</v>
      </c>
      <c r="D141" s="124" t="s">
        <v>45</v>
      </c>
      <c r="E141" s="26" t="s">
        <v>106</v>
      </c>
      <c r="F141" s="31"/>
      <c r="G141" s="34"/>
      <c r="H141" s="55" t="str">
        <f t="shared" si="12"/>
        <v/>
      </c>
      <c r="I141" s="55" t="str">
        <f t="shared" si="13"/>
        <v/>
      </c>
      <c r="J141" s="56" t="str">
        <f t="shared" si="14"/>
        <v/>
      </c>
      <c r="K141" s="2"/>
      <c r="L141" s="41"/>
      <c r="U141" s="179" t="str" cm="1">
        <f t="array" ref="U141">IF(C141="",INDEX(C134:C141,MATCH(TRUE,INDEX((C134:C141&lt;&gt;""),0),0)),C141)</f>
        <v>Britoil Guardian</v>
      </c>
      <c r="V141" s="180">
        <f t="shared" si="15"/>
        <v>0.14283710491864596</v>
      </c>
      <c r="W141" s="180">
        <v>20000</v>
      </c>
      <c r="X141" s="180"/>
      <c r="Y141" s="180">
        <f t="shared" si="16"/>
        <v>3055</v>
      </c>
      <c r="Z141" s="181"/>
    </row>
    <row r="142" spans="1:26" ht="25" customHeight="1" outlineLevel="1" x14ac:dyDescent="0.35">
      <c r="B142" s="125"/>
      <c r="C142" s="125"/>
      <c r="D142" s="125"/>
      <c r="E142" s="3" t="s">
        <v>13</v>
      </c>
      <c r="F142" s="31" t="s">
        <v>32</v>
      </c>
      <c r="G142" s="35"/>
      <c r="H142" s="57" t="str">
        <f t="shared" si="12"/>
        <v/>
      </c>
      <c r="I142" s="57" t="str">
        <f t="shared" si="13"/>
        <v/>
      </c>
      <c r="J142" s="58" t="str">
        <f t="shared" si="14"/>
        <v/>
      </c>
      <c r="K142" s="3"/>
      <c r="L142" s="42"/>
      <c r="U142" s="179" t="str" cm="1">
        <f t="array" ref="U142">IF(C142="",INDEX(C135:C142,MATCH(TRUE,INDEX((C135:C142&lt;&gt;""),0),0)),C142)</f>
        <v>Britoil Guardian</v>
      </c>
      <c r="V142" s="180">
        <f t="shared" si="15"/>
        <v>0.14283710491864596</v>
      </c>
      <c r="W142" s="180">
        <v>20000</v>
      </c>
      <c r="X142" s="180"/>
      <c r="Y142" s="180">
        <f t="shared" si="16"/>
        <v>3055</v>
      </c>
      <c r="Z142" s="181"/>
    </row>
    <row r="143" spans="1:26" ht="25" customHeight="1" outlineLevel="1" x14ac:dyDescent="0.35">
      <c r="B143" s="125"/>
      <c r="C143" s="125"/>
      <c r="D143" s="125"/>
      <c r="E143" s="3" t="s">
        <v>114</v>
      </c>
      <c r="F143" s="31" t="s">
        <v>32</v>
      </c>
      <c r="G143" s="35"/>
      <c r="H143" s="57" t="str">
        <f t="shared" si="12"/>
        <v/>
      </c>
      <c r="I143" s="57" t="str">
        <f t="shared" si="13"/>
        <v/>
      </c>
      <c r="J143" s="58" t="str">
        <f t="shared" si="14"/>
        <v/>
      </c>
      <c r="K143" s="3"/>
      <c r="L143" s="42"/>
      <c r="U143" s="179" t="str" cm="1">
        <f t="array" ref="U143">IF(C143="",INDEX(C136:C143,MATCH(TRUE,INDEX((C136:C143&lt;&gt;""),0),0)),C143)</f>
        <v>Britoil Guardian</v>
      </c>
      <c r="V143" s="180">
        <f t="shared" si="15"/>
        <v>0.14283710491864596</v>
      </c>
      <c r="W143" s="180">
        <v>20000</v>
      </c>
      <c r="X143" s="180"/>
      <c r="Y143" s="180">
        <f t="shared" si="16"/>
        <v>3055</v>
      </c>
      <c r="Z143" s="181"/>
    </row>
    <row r="144" spans="1:26" ht="25" customHeight="1" outlineLevel="1" x14ac:dyDescent="0.35">
      <c r="B144" s="125"/>
      <c r="C144" s="125"/>
      <c r="D144" s="125"/>
      <c r="E144" s="3" t="s">
        <v>113</v>
      </c>
      <c r="F144" s="31" t="s">
        <v>32</v>
      </c>
      <c r="G144" s="35"/>
      <c r="H144" s="57" t="str">
        <f t="shared" si="12"/>
        <v/>
      </c>
      <c r="I144" s="57" t="str">
        <f t="shared" si="13"/>
        <v/>
      </c>
      <c r="J144" s="58" t="str">
        <f t="shared" si="14"/>
        <v/>
      </c>
      <c r="K144" s="3" t="s">
        <v>213</v>
      </c>
      <c r="L144" s="42" t="s">
        <v>213</v>
      </c>
      <c r="U144" s="179" t="str" cm="1">
        <f t="array" ref="U144">IF(C144="",INDEX(C137:C144,MATCH(TRUE,INDEX((C137:C144&lt;&gt;""),0),0)),C144)</f>
        <v>Britoil Guardian</v>
      </c>
      <c r="V144" s="180">
        <f t="shared" si="15"/>
        <v>0.14283710491864596</v>
      </c>
      <c r="W144" s="180">
        <v>20000</v>
      </c>
      <c r="X144" s="180"/>
      <c r="Y144" s="180">
        <f t="shared" si="16"/>
        <v>3055</v>
      </c>
      <c r="Z144" s="181"/>
    </row>
    <row r="145" spans="1:26" ht="25" customHeight="1" outlineLevel="1" x14ac:dyDescent="0.35">
      <c r="B145" s="125"/>
      <c r="C145" s="125"/>
      <c r="D145" s="125"/>
      <c r="E145" s="3" t="s">
        <v>110</v>
      </c>
      <c r="F145" s="31" t="s">
        <v>32</v>
      </c>
      <c r="G145" s="35"/>
      <c r="H145" s="57" t="str">
        <f t="shared" si="12"/>
        <v/>
      </c>
      <c r="I145" s="57" t="str">
        <f t="shared" si="13"/>
        <v/>
      </c>
      <c r="J145" s="58" t="str">
        <f t="shared" si="14"/>
        <v/>
      </c>
      <c r="K145" s="3"/>
      <c r="L145" s="42"/>
      <c r="U145" s="179" t="str" cm="1">
        <f t="array" ref="U145">IF(C145="",INDEX(C138:C145,MATCH(TRUE,INDEX((C138:C145&lt;&gt;""),0),0)),C145)</f>
        <v>Britoil Guardian</v>
      </c>
      <c r="V145" s="180">
        <f t="shared" si="15"/>
        <v>0.14283710491864596</v>
      </c>
      <c r="W145" s="180">
        <v>20000</v>
      </c>
      <c r="X145" s="180"/>
      <c r="Y145" s="180">
        <f t="shared" si="16"/>
        <v>3055</v>
      </c>
      <c r="Z145" s="181"/>
    </row>
    <row r="146" spans="1:26" ht="25" customHeight="1" outlineLevel="1" x14ac:dyDescent="0.35">
      <c r="B146" s="126"/>
      <c r="C146" s="126"/>
      <c r="D146" s="126"/>
      <c r="E146" s="4" t="s">
        <v>14</v>
      </c>
      <c r="F146" s="31" t="s">
        <v>32</v>
      </c>
      <c r="G146" s="39"/>
      <c r="H146" s="65" t="str">
        <f t="shared" si="12"/>
        <v/>
      </c>
      <c r="I146" s="65" t="str">
        <f t="shared" si="13"/>
        <v/>
      </c>
      <c r="J146" s="66" t="str">
        <f t="shared" si="14"/>
        <v/>
      </c>
      <c r="K146" s="4"/>
      <c r="L146" s="43"/>
      <c r="U146" s="179" t="str" cm="1">
        <f t="array" ref="U146">IF(C146="",INDEX(C140:C146,MATCH(TRUE,INDEX((C140:C146&lt;&gt;""),0),0)),C146)</f>
        <v>Britoil Guardian</v>
      </c>
      <c r="V146" s="180">
        <f t="shared" si="15"/>
        <v>0.14283710491864596</v>
      </c>
      <c r="W146" s="180">
        <v>20000</v>
      </c>
      <c r="X146" s="180"/>
      <c r="Y146" s="180">
        <f t="shared" si="16"/>
        <v>3055</v>
      </c>
      <c r="Z146" s="181"/>
    </row>
    <row r="147" spans="1:26" ht="30" customHeight="1" x14ac:dyDescent="0.35">
      <c r="A147" s="8" t="s">
        <v>140</v>
      </c>
      <c r="B147" s="121">
        <v>26</v>
      </c>
      <c r="C147" s="121" t="s">
        <v>46</v>
      </c>
      <c r="D147" s="167" t="s">
        <v>103</v>
      </c>
      <c r="E147" s="27" t="s">
        <v>106</v>
      </c>
      <c r="F147" s="32"/>
      <c r="G147" s="37"/>
      <c r="H147" s="61" t="str">
        <f t="shared" si="12"/>
        <v/>
      </c>
      <c r="I147" s="61" t="str">
        <f t="shared" si="13"/>
        <v/>
      </c>
      <c r="J147" s="62" t="str">
        <f t="shared" si="14"/>
        <v/>
      </c>
      <c r="K147" s="6"/>
      <c r="L147" s="44"/>
      <c r="U147" s="179" t="str" cm="1">
        <f t="array" ref="U147">IF(C147="",INDEX(C141:C147,MATCH(TRUE,INDEX((C141:C147&lt;&gt;""),0),0)),C147)</f>
        <v>BOS Ares</v>
      </c>
      <c r="V147" s="180">
        <f t="shared" si="15"/>
        <v>0.73573966710304839</v>
      </c>
      <c r="W147" s="180">
        <v>18000</v>
      </c>
      <c r="X147" s="180"/>
      <c r="Y147" s="180">
        <f t="shared" si="16"/>
        <v>15736</v>
      </c>
      <c r="Z147" s="181"/>
    </row>
    <row r="148" spans="1:26" ht="25" customHeight="1" outlineLevel="1" x14ac:dyDescent="0.35">
      <c r="B148" s="122"/>
      <c r="C148" s="122"/>
      <c r="D148" s="168"/>
      <c r="E148" s="6" t="s">
        <v>13</v>
      </c>
      <c r="F148" s="32" t="s">
        <v>17</v>
      </c>
      <c r="G148" s="37"/>
      <c r="H148" s="61">
        <f t="shared" si="12"/>
        <v>8828.8760052365815</v>
      </c>
      <c r="I148" s="61">
        <f t="shared" si="13"/>
        <v>2354.366934729755</v>
      </c>
      <c r="J148" s="62">
        <f t="shared" si="14"/>
        <v>47.087338694595097</v>
      </c>
      <c r="K148" s="6"/>
      <c r="L148" s="45"/>
      <c r="U148" s="179" t="str" cm="1">
        <f t="array" ref="U148">IF(C148="",INDEX(C142:C148,MATCH(TRUE,INDEX((C142:C148&lt;&gt;""),0),0)),C148)</f>
        <v>BOS Ares</v>
      </c>
      <c r="V148" s="180">
        <f t="shared" si="15"/>
        <v>0.73573966710304839</v>
      </c>
      <c r="W148" s="180">
        <v>18000</v>
      </c>
      <c r="X148" s="180"/>
      <c r="Y148" s="180">
        <f t="shared" si="16"/>
        <v>15736</v>
      </c>
      <c r="Z148" s="181"/>
    </row>
    <row r="149" spans="1:26" ht="25" customHeight="1" outlineLevel="1" x14ac:dyDescent="0.35">
      <c r="B149" s="122"/>
      <c r="C149" s="122"/>
      <c r="D149" s="122"/>
      <c r="E149" s="6" t="s">
        <v>114</v>
      </c>
      <c r="F149" s="32" t="s">
        <v>32</v>
      </c>
      <c r="G149" s="37"/>
      <c r="H149" s="61" t="str">
        <f t="shared" si="12"/>
        <v/>
      </c>
      <c r="I149" s="61" t="str">
        <f t="shared" si="13"/>
        <v/>
      </c>
      <c r="J149" s="62" t="str">
        <f t="shared" si="14"/>
        <v/>
      </c>
      <c r="K149" s="6"/>
      <c r="L149" s="45"/>
      <c r="U149" s="179" t="str" cm="1">
        <f t="array" ref="U149">IF(C149="",INDEX(C143:C149,MATCH(TRUE,INDEX((C143:C149&lt;&gt;""),0),0)),C149)</f>
        <v>BOS Ares</v>
      </c>
      <c r="V149" s="180">
        <f t="shared" si="15"/>
        <v>0.73573966710304839</v>
      </c>
      <c r="W149" s="180">
        <v>18000</v>
      </c>
      <c r="X149" s="180"/>
      <c r="Y149" s="180">
        <f t="shared" si="16"/>
        <v>15736</v>
      </c>
      <c r="Z149" s="181"/>
    </row>
    <row r="150" spans="1:26" ht="25" customHeight="1" outlineLevel="1" x14ac:dyDescent="0.35">
      <c r="B150" s="122"/>
      <c r="C150" s="122"/>
      <c r="D150" s="122"/>
      <c r="E150" s="6" t="s">
        <v>113</v>
      </c>
      <c r="F150" s="32" t="s">
        <v>17</v>
      </c>
      <c r="G150" s="37"/>
      <c r="H150" s="61">
        <f t="shared" si="12"/>
        <v>11771.834673648775</v>
      </c>
      <c r="I150" s="61">
        <f t="shared" si="13"/>
        <v>73.573966710304845</v>
      </c>
      <c r="J150" s="62">
        <f t="shared" si="14"/>
        <v>62.537871703759116</v>
      </c>
      <c r="K150" s="6"/>
      <c r="L150" s="45" t="s">
        <v>185</v>
      </c>
      <c r="U150" s="179" t="str" cm="1">
        <f t="array" ref="U150">IF(C150="",INDEX(C144:C150,MATCH(TRUE,INDEX((C144:C150&lt;&gt;""),0),0)),C150)</f>
        <v>BOS Ares</v>
      </c>
      <c r="V150" s="180">
        <f t="shared" si="15"/>
        <v>0.73573966710304839</v>
      </c>
      <c r="W150" s="180">
        <v>18000</v>
      </c>
      <c r="X150" s="180"/>
      <c r="Y150" s="180">
        <f t="shared" si="16"/>
        <v>15736</v>
      </c>
      <c r="Z150" s="181"/>
    </row>
    <row r="151" spans="1:26" ht="25" customHeight="1" outlineLevel="1" x14ac:dyDescent="0.35">
      <c r="B151" s="122"/>
      <c r="C151" s="122"/>
      <c r="D151" s="122"/>
      <c r="E151" s="6" t="s">
        <v>110</v>
      </c>
      <c r="F151" s="32" t="s">
        <v>17</v>
      </c>
      <c r="G151" s="37"/>
      <c r="H151" s="61">
        <f t="shared" si="12"/>
        <v>6106.6392369553014</v>
      </c>
      <c r="I151" s="61">
        <f t="shared" si="13"/>
        <v>735.73966710304842</v>
      </c>
      <c r="J151" s="62">
        <f t="shared" si="14"/>
        <v>33.108285019637179</v>
      </c>
      <c r="K151" s="6"/>
      <c r="L151" s="45"/>
      <c r="U151" s="179" t="str" cm="1">
        <f t="array" ref="U151">IF(C151="",INDEX(C145:C151,MATCH(TRUE,INDEX((C145:C151&lt;&gt;""),0),0)),C151)</f>
        <v>BOS Ares</v>
      </c>
      <c r="V151" s="180">
        <f t="shared" si="15"/>
        <v>0.73573966710304839</v>
      </c>
      <c r="W151" s="180">
        <v>18000</v>
      </c>
      <c r="X151" s="180"/>
      <c r="Y151" s="180">
        <f t="shared" si="16"/>
        <v>15736</v>
      </c>
      <c r="Z151" s="181"/>
    </row>
    <row r="152" spans="1:26" ht="25" customHeight="1" outlineLevel="1" x14ac:dyDescent="0.35">
      <c r="B152" s="123"/>
      <c r="C152" s="123"/>
      <c r="D152" s="123"/>
      <c r="E152" s="7" t="s">
        <v>14</v>
      </c>
      <c r="F152" s="32" t="s">
        <v>21</v>
      </c>
      <c r="G152" s="37"/>
      <c r="H152" s="61" t="str">
        <f t="shared" si="12"/>
        <v/>
      </c>
      <c r="I152" s="61" t="str">
        <f t="shared" si="13"/>
        <v/>
      </c>
      <c r="J152" s="62" t="str">
        <f t="shared" si="14"/>
        <v/>
      </c>
      <c r="K152" s="6"/>
      <c r="L152" s="46"/>
      <c r="U152" s="179" t="str" cm="1">
        <f t="array" ref="U152">IF(C152="",INDEX(C146:C152,MATCH(TRUE,INDEX((C146:C152&lt;&gt;""),0),0)),C152)</f>
        <v>BOS Ares</v>
      </c>
      <c r="V152" s="180">
        <f t="shared" si="15"/>
        <v>0.73573966710304839</v>
      </c>
      <c r="W152" s="180">
        <v>18000</v>
      </c>
      <c r="X152" s="180"/>
      <c r="Y152" s="180">
        <f t="shared" si="16"/>
        <v>15736</v>
      </c>
      <c r="Z152" s="181"/>
    </row>
    <row r="153" spans="1:26" ht="30" customHeight="1" x14ac:dyDescent="0.35">
      <c r="A153" s="8" t="s">
        <v>140</v>
      </c>
      <c r="B153" s="124">
        <v>27</v>
      </c>
      <c r="C153" s="124" t="s">
        <v>47</v>
      </c>
      <c r="D153" s="169" t="s">
        <v>103</v>
      </c>
      <c r="E153" s="26" t="s">
        <v>106</v>
      </c>
      <c r="F153" s="31"/>
      <c r="G153" s="34"/>
      <c r="H153" s="55" t="str">
        <f t="shared" ref="H153:H216" si="17">IF(F153="Done", V153*VLOOKUP(E153, $AB$3:$AC$11, 2, FALSE), "")</f>
        <v/>
      </c>
      <c r="I153" s="55" t="str">
        <f t="shared" ref="I153:I216" si="18">IF(F153="Done", V153*VLOOKUP(E153, $AB$3:$AD$11, 3, FALSE), "")</f>
        <v/>
      </c>
      <c r="J153" s="56" t="str">
        <f t="shared" ref="J153:J216" si="19">IF(F153="Done", V153*VLOOKUP(E153, $AB$3:$AE$11, 4, FALSE), "")</f>
        <v/>
      </c>
      <c r="K153" s="2"/>
      <c r="L153" s="41"/>
      <c r="U153" s="179" t="str" cm="1">
        <f t="array" ref="U153">IF(C153="",INDEX(C147:C153,MATCH(TRUE,INDEX((C147:C153&lt;&gt;""),0),0)),C153)</f>
        <v>BOS Athena</v>
      </c>
      <c r="V153" s="180">
        <f t="shared" si="15"/>
        <v>0.73573966710304839</v>
      </c>
      <c r="W153" s="180">
        <v>18000</v>
      </c>
      <c r="X153" s="180"/>
      <c r="Y153" s="180">
        <f t="shared" si="16"/>
        <v>15736</v>
      </c>
      <c r="Z153" s="181"/>
    </row>
    <row r="154" spans="1:26" ht="25" customHeight="1" outlineLevel="1" x14ac:dyDescent="0.35">
      <c r="B154" s="125"/>
      <c r="C154" s="125"/>
      <c r="D154" s="170"/>
      <c r="E154" s="3" t="s">
        <v>13</v>
      </c>
      <c r="F154" s="31" t="s">
        <v>21</v>
      </c>
      <c r="G154" s="35"/>
      <c r="H154" s="57" t="str">
        <f t="shared" si="17"/>
        <v/>
      </c>
      <c r="I154" s="57" t="str">
        <f t="shared" si="18"/>
        <v/>
      </c>
      <c r="J154" s="58" t="str">
        <f t="shared" si="19"/>
        <v/>
      </c>
      <c r="K154" s="3"/>
      <c r="L154" s="42"/>
      <c r="U154" s="179" t="str" cm="1">
        <f t="array" ref="U154">IF(C154="",INDEX(C148:C154,MATCH(TRUE,INDEX((C148:C154&lt;&gt;""),0),0)),C154)</f>
        <v>BOS Athena</v>
      </c>
      <c r="V154" s="180">
        <f t="shared" si="15"/>
        <v>0.73573966710304839</v>
      </c>
      <c r="W154" s="180">
        <v>18000</v>
      </c>
      <c r="X154" s="180"/>
      <c r="Y154" s="180">
        <f t="shared" si="16"/>
        <v>15736</v>
      </c>
      <c r="Z154" s="181"/>
    </row>
    <row r="155" spans="1:26" ht="25" customHeight="1" outlineLevel="1" x14ac:dyDescent="0.35">
      <c r="B155" s="125"/>
      <c r="C155" s="125"/>
      <c r="D155" s="170"/>
      <c r="E155" s="3" t="s">
        <v>114</v>
      </c>
      <c r="F155" s="31" t="s">
        <v>32</v>
      </c>
      <c r="G155" s="35"/>
      <c r="H155" s="57" t="str">
        <f t="shared" si="17"/>
        <v/>
      </c>
      <c r="I155" s="57" t="str">
        <f t="shared" si="18"/>
        <v/>
      </c>
      <c r="J155" s="58" t="str">
        <f t="shared" si="19"/>
        <v/>
      </c>
      <c r="K155" s="3"/>
      <c r="L155" s="42"/>
      <c r="U155" s="179" t="str" cm="1">
        <f t="array" ref="U155">IF(C155="",INDEX(C149:C155,MATCH(TRUE,INDEX((C149:C155&lt;&gt;""),0),0)),C155)</f>
        <v>BOS Athena</v>
      </c>
      <c r="V155" s="180">
        <f t="shared" si="15"/>
        <v>0.73573966710304839</v>
      </c>
      <c r="W155" s="180">
        <v>18000</v>
      </c>
      <c r="X155" s="180"/>
      <c r="Y155" s="180">
        <f t="shared" si="16"/>
        <v>15736</v>
      </c>
      <c r="Z155" s="181"/>
    </row>
    <row r="156" spans="1:26" ht="25" customHeight="1" outlineLevel="1" x14ac:dyDescent="0.35">
      <c r="B156" s="125"/>
      <c r="C156" s="125"/>
      <c r="D156" s="170"/>
      <c r="E156" s="3" t="s">
        <v>113</v>
      </c>
      <c r="F156" s="31" t="s">
        <v>17</v>
      </c>
      <c r="G156" s="35" t="s">
        <v>196</v>
      </c>
      <c r="H156" s="57">
        <f t="shared" si="17"/>
        <v>11771.834673648775</v>
      </c>
      <c r="I156" s="57">
        <f t="shared" si="18"/>
        <v>73.573966710304845</v>
      </c>
      <c r="J156" s="58">
        <f t="shared" si="19"/>
        <v>62.537871703759116</v>
      </c>
      <c r="K156" s="3"/>
      <c r="L156" s="42"/>
      <c r="U156" s="179" t="str" cm="1">
        <f t="array" ref="U156">IF(C156="",INDEX(C150:C156,MATCH(TRUE,INDEX((C150:C156&lt;&gt;""),0),0)),C156)</f>
        <v>BOS Athena</v>
      </c>
      <c r="V156" s="180">
        <f t="shared" si="15"/>
        <v>0.73573966710304839</v>
      </c>
      <c r="W156" s="180">
        <v>18000</v>
      </c>
      <c r="X156" s="180"/>
      <c r="Y156" s="180">
        <f t="shared" si="16"/>
        <v>15736</v>
      </c>
      <c r="Z156" s="181"/>
    </row>
    <row r="157" spans="1:26" ht="25" customHeight="1" outlineLevel="1" x14ac:dyDescent="0.35">
      <c r="B157" s="125"/>
      <c r="C157" s="125"/>
      <c r="D157" s="125"/>
      <c r="E157" s="3" t="s">
        <v>110</v>
      </c>
      <c r="F157" s="31" t="s">
        <v>17</v>
      </c>
      <c r="G157" s="35" t="s">
        <v>197</v>
      </c>
      <c r="H157" s="57">
        <f t="shared" si="17"/>
        <v>6106.6392369553014</v>
      </c>
      <c r="I157" s="57">
        <f t="shared" si="18"/>
        <v>735.73966710304842</v>
      </c>
      <c r="J157" s="58">
        <f t="shared" si="19"/>
        <v>33.108285019637179</v>
      </c>
      <c r="K157" s="3"/>
      <c r="L157" s="42"/>
      <c r="U157" s="179" t="str" cm="1">
        <f t="array" ref="U157">IF(C157="",INDEX(C151:C157,MATCH(TRUE,INDEX((C151:C157&lt;&gt;""),0),0)),C157)</f>
        <v>BOS Athena</v>
      </c>
      <c r="V157" s="180">
        <f t="shared" si="15"/>
        <v>0.73573966710304839</v>
      </c>
      <c r="W157" s="180">
        <v>18000</v>
      </c>
      <c r="X157" s="180"/>
      <c r="Y157" s="180">
        <f t="shared" si="16"/>
        <v>15736</v>
      </c>
      <c r="Z157" s="181"/>
    </row>
    <row r="158" spans="1:26" ht="25" customHeight="1" outlineLevel="1" x14ac:dyDescent="0.35">
      <c r="B158" s="126"/>
      <c r="C158" s="126"/>
      <c r="D158" s="126"/>
      <c r="E158" s="4" t="s">
        <v>14</v>
      </c>
      <c r="F158" s="31" t="s">
        <v>21</v>
      </c>
      <c r="G158" s="39"/>
      <c r="H158" s="65" t="str">
        <f t="shared" si="17"/>
        <v/>
      </c>
      <c r="I158" s="65" t="str">
        <f t="shared" si="18"/>
        <v/>
      </c>
      <c r="J158" s="66" t="str">
        <f t="shared" si="19"/>
        <v/>
      </c>
      <c r="K158" s="4"/>
      <c r="L158" s="43"/>
      <c r="U158" s="179" t="str" cm="1">
        <f t="array" ref="U158">IF(C158="",INDEX(C152:C158,MATCH(TRUE,INDEX((C152:C158&lt;&gt;""),0),0)),C158)</f>
        <v>BOS Athena</v>
      </c>
      <c r="V158" s="180">
        <f t="shared" si="15"/>
        <v>0.73573966710304839</v>
      </c>
      <c r="W158" s="180">
        <v>18000</v>
      </c>
      <c r="X158" s="180"/>
      <c r="Y158" s="180">
        <f t="shared" si="16"/>
        <v>15736</v>
      </c>
      <c r="Z158" s="181"/>
    </row>
    <row r="159" spans="1:26" ht="30" customHeight="1" x14ac:dyDescent="0.35">
      <c r="B159" s="121">
        <v>28</v>
      </c>
      <c r="C159" s="121" t="s">
        <v>48</v>
      </c>
      <c r="D159" s="167" t="s">
        <v>49</v>
      </c>
      <c r="E159" s="27" t="s">
        <v>106</v>
      </c>
      <c r="F159" s="32"/>
      <c r="G159" s="37"/>
      <c r="H159" s="61" t="str">
        <f t="shared" si="17"/>
        <v/>
      </c>
      <c r="I159" s="61" t="str">
        <f t="shared" si="18"/>
        <v/>
      </c>
      <c r="J159" s="62" t="str">
        <f t="shared" si="19"/>
        <v/>
      </c>
      <c r="K159" s="6"/>
      <c r="L159" s="44"/>
      <c r="U159" s="179" t="str" cm="1">
        <f t="array" ref="U159">IF(C159="",INDEX(C153:C159,MATCH(TRUE,INDEX((C153:C159&lt;&gt;""),0),0)),C159)</f>
        <v>BOS Atlanta</v>
      </c>
      <c r="V159" s="180">
        <f t="shared" si="15"/>
        <v>0.73573966710304839</v>
      </c>
      <c r="W159" s="180">
        <v>18000</v>
      </c>
      <c r="X159" s="180"/>
      <c r="Y159" s="180">
        <f t="shared" si="16"/>
        <v>15736</v>
      </c>
      <c r="Z159" s="181"/>
    </row>
    <row r="160" spans="1:26" ht="25" customHeight="1" outlineLevel="1" x14ac:dyDescent="0.35">
      <c r="B160" s="122"/>
      <c r="C160" s="122"/>
      <c r="D160" s="168"/>
      <c r="E160" s="6" t="s">
        <v>13</v>
      </c>
      <c r="F160" s="32" t="s">
        <v>21</v>
      </c>
      <c r="G160" s="37"/>
      <c r="H160" s="61" t="str">
        <f t="shared" si="17"/>
        <v/>
      </c>
      <c r="I160" s="61" t="str">
        <f t="shared" si="18"/>
        <v/>
      </c>
      <c r="J160" s="62" t="str">
        <f t="shared" si="19"/>
        <v/>
      </c>
      <c r="K160" s="6"/>
      <c r="L160" s="45"/>
      <c r="U160" s="179" t="str" cm="1">
        <f t="array" ref="U160">IF(C160="",INDEX(C154:C160,MATCH(TRUE,INDEX((C154:C160&lt;&gt;""),0),0)),C160)</f>
        <v>BOS Atlanta</v>
      </c>
      <c r="V160" s="180">
        <f t="shared" si="15"/>
        <v>0.73573966710304839</v>
      </c>
      <c r="W160" s="180">
        <v>18000</v>
      </c>
      <c r="X160" s="180"/>
      <c r="Y160" s="180">
        <f t="shared" si="16"/>
        <v>15736</v>
      </c>
      <c r="Z160" s="181"/>
    </row>
    <row r="161" spans="1:26" ht="25" customHeight="1" outlineLevel="1" x14ac:dyDescent="0.35">
      <c r="B161" s="122"/>
      <c r="C161" s="122"/>
      <c r="D161" s="168"/>
      <c r="E161" s="6" t="s">
        <v>114</v>
      </c>
      <c r="F161" s="32" t="s">
        <v>32</v>
      </c>
      <c r="G161" s="37"/>
      <c r="H161" s="61" t="str">
        <f t="shared" si="17"/>
        <v/>
      </c>
      <c r="I161" s="61" t="str">
        <f t="shared" si="18"/>
        <v/>
      </c>
      <c r="J161" s="62" t="str">
        <f t="shared" si="19"/>
        <v/>
      </c>
      <c r="K161" s="6"/>
      <c r="L161" s="45"/>
      <c r="U161" s="179" t="str" cm="1">
        <f t="array" ref="U161">IF(C161="",INDEX(C155:C161,MATCH(TRUE,INDEX((C155:C161&lt;&gt;""),0),0)),C161)</f>
        <v>BOS Atlanta</v>
      </c>
      <c r="V161" s="180">
        <f t="shared" si="15"/>
        <v>0.73573966710304839</v>
      </c>
      <c r="W161" s="180">
        <v>18000</v>
      </c>
      <c r="X161" s="180"/>
      <c r="Y161" s="180">
        <f t="shared" si="16"/>
        <v>15736</v>
      </c>
      <c r="Z161" s="181"/>
    </row>
    <row r="162" spans="1:26" ht="25" customHeight="1" outlineLevel="1" x14ac:dyDescent="0.35">
      <c r="B162" s="122"/>
      <c r="C162" s="122"/>
      <c r="D162" s="168"/>
      <c r="E162" s="6" t="s">
        <v>113</v>
      </c>
      <c r="F162" s="32"/>
      <c r="G162" s="37"/>
      <c r="H162" s="61" t="str">
        <f t="shared" si="17"/>
        <v/>
      </c>
      <c r="I162" s="61" t="str">
        <f t="shared" si="18"/>
        <v/>
      </c>
      <c r="J162" s="62" t="str">
        <f t="shared" si="19"/>
        <v/>
      </c>
      <c r="K162" s="6"/>
      <c r="L162" s="45"/>
      <c r="U162" s="179" t="str" cm="1">
        <f t="array" ref="U162">IF(C162="",INDEX(C156:C162,MATCH(TRUE,INDEX((C156:C162&lt;&gt;""),0),0)),C162)</f>
        <v>BOS Atlanta</v>
      </c>
      <c r="V162" s="180">
        <f t="shared" si="15"/>
        <v>0.73573966710304839</v>
      </c>
      <c r="W162" s="180">
        <v>18000</v>
      </c>
      <c r="X162" s="180"/>
      <c r="Y162" s="180">
        <f t="shared" si="16"/>
        <v>15736</v>
      </c>
      <c r="Z162" s="181"/>
    </row>
    <row r="163" spans="1:26" ht="25" customHeight="1" outlineLevel="1" x14ac:dyDescent="0.35">
      <c r="B163" s="122"/>
      <c r="C163" s="122"/>
      <c r="D163" s="122"/>
      <c r="E163" s="6" t="s">
        <v>110</v>
      </c>
      <c r="F163" s="32"/>
      <c r="G163" s="37"/>
      <c r="H163" s="61" t="str">
        <f t="shared" si="17"/>
        <v/>
      </c>
      <c r="I163" s="61" t="str">
        <f t="shared" si="18"/>
        <v/>
      </c>
      <c r="J163" s="62" t="str">
        <f t="shared" si="19"/>
        <v/>
      </c>
      <c r="K163" s="6"/>
      <c r="L163" s="45"/>
      <c r="U163" s="179" t="str" cm="1">
        <f t="array" ref="U163">IF(C163="",INDEX(C157:C163,MATCH(TRUE,INDEX((C157:C163&lt;&gt;""),0),0)),C163)</f>
        <v>BOS Atlanta</v>
      </c>
      <c r="V163" s="180">
        <f t="shared" si="15"/>
        <v>0.73573966710304839</v>
      </c>
      <c r="W163" s="180">
        <v>18000</v>
      </c>
      <c r="X163" s="180"/>
      <c r="Y163" s="180">
        <f t="shared" si="16"/>
        <v>15736</v>
      </c>
      <c r="Z163" s="181"/>
    </row>
    <row r="164" spans="1:26" ht="25" customHeight="1" outlineLevel="1" x14ac:dyDescent="0.35">
      <c r="B164" s="123"/>
      <c r="C164" s="123"/>
      <c r="D164" s="123"/>
      <c r="E164" s="7" t="s">
        <v>14</v>
      </c>
      <c r="F164" s="32" t="s">
        <v>21</v>
      </c>
      <c r="G164" s="37"/>
      <c r="H164" s="61" t="str">
        <f t="shared" si="17"/>
        <v/>
      </c>
      <c r="I164" s="61" t="str">
        <f t="shared" si="18"/>
        <v/>
      </c>
      <c r="J164" s="62" t="str">
        <f t="shared" si="19"/>
        <v/>
      </c>
      <c r="K164" s="6"/>
      <c r="L164" s="46"/>
      <c r="U164" s="179" t="str" cm="1">
        <f t="array" ref="U164">IF(C164="",INDEX(C158:C164,MATCH(TRUE,INDEX((C158:C164&lt;&gt;""),0),0)),C164)</f>
        <v>BOS Atlanta</v>
      </c>
      <c r="V164" s="180">
        <f t="shared" si="15"/>
        <v>0.73573966710304839</v>
      </c>
      <c r="W164" s="180">
        <v>18000</v>
      </c>
      <c r="X164" s="180"/>
      <c r="Y164" s="180">
        <f t="shared" si="16"/>
        <v>15736</v>
      </c>
      <c r="Z164" s="181"/>
    </row>
    <row r="165" spans="1:26" ht="30" customHeight="1" x14ac:dyDescent="0.35">
      <c r="A165" s="8" t="s">
        <v>140</v>
      </c>
      <c r="B165" s="124">
        <v>29</v>
      </c>
      <c r="C165" s="124" t="s">
        <v>50</v>
      </c>
      <c r="D165" s="169" t="s">
        <v>49</v>
      </c>
      <c r="E165" s="26" t="s">
        <v>106</v>
      </c>
      <c r="F165" s="31"/>
      <c r="G165" s="34"/>
      <c r="H165" s="55" t="str">
        <f t="shared" si="17"/>
        <v/>
      </c>
      <c r="I165" s="55" t="str">
        <f t="shared" si="18"/>
        <v/>
      </c>
      <c r="J165" s="56" t="str">
        <f t="shared" si="19"/>
        <v/>
      </c>
      <c r="K165" s="2"/>
      <c r="L165" s="41"/>
      <c r="U165" s="179" t="str" cm="1">
        <f t="array" ref="U165">IF(C165="",INDEX(C159:C165,MATCH(TRUE,INDEX((C159:C165&lt;&gt;""),0),0)),C165)</f>
        <v>BOS Atlas</v>
      </c>
      <c r="V165" s="180">
        <f t="shared" si="15"/>
        <v>0.73573966710304839</v>
      </c>
      <c r="W165" s="180">
        <v>18000</v>
      </c>
      <c r="X165" s="180"/>
      <c r="Y165" s="180">
        <f t="shared" si="16"/>
        <v>15736</v>
      </c>
      <c r="Z165" s="181"/>
    </row>
    <row r="166" spans="1:26" ht="25" customHeight="1" outlineLevel="1" x14ac:dyDescent="0.35">
      <c r="B166" s="125"/>
      <c r="C166" s="125"/>
      <c r="D166" s="170"/>
      <c r="E166" s="3" t="s">
        <v>13</v>
      </c>
      <c r="F166" s="31" t="s">
        <v>21</v>
      </c>
      <c r="G166" s="35"/>
      <c r="H166" s="57" t="str">
        <f t="shared" si="17"/>
        <v/>
      </c>
      <c r="I166" s="57" t="str">
        <f t="shared" si="18"/>
        <v/>
      </c>
      <c r="J166" s="58" t="str">
        <f t="shared" si="19"/>
        <v/>
      </c>
      <c r="K166" s="3"/>
      <c r="L166" s="42"/>
      <c r="U166" s="179" t="str" cm="1">
        <f t="array" ref="U166">IF(C166="",INDEX(C160:C166,MATCH(TRUE,INDEX((C160:C166&lt;&gt;""),0),0)),C166)</f>
        <v>BOS Atlas</v>
      </c>
      <c r="V166" s="180">
        <f t="shared" si="15"/>
        <v>0.73573966710304839</v>
      </c>
      <c r="W166" s="180">
        <v>18000</v>
      </c>
      <c r="X166" s="180"/>
      <c r="Y166" s="180">
        <f t="shared" si="16"/>
        <v>15736</v>
      </c>
      <c r="Z166" s="181"/>
    </row>
    <row r="167" spans="1:26" ht="25" customHeight="1" outlineLevel="1" x14ac:dyDescent="0.35">
      <c r="B167" s="125"/>
      <c r="C167" s="125"/>
      <c r="D167" s="170"/>
      <c r="E167" s="3" t="s">
        <v>114</v>
      </c>
      <c r="F167" s="31" t="s">
        <v>32</v>
      </c>
      <c r="G167" s="35"/>
      <c r="H167" s="57" t="str">
        <f t="shared" si="17"/>
        <v/>
      </c>
      <c r="I167" s="57" t="str">
        <f t="shared" si="18"/>
        <v/>
      </c>
      <c r="J167" s="58" t="str">
        <f t="shared" si="19"/>
        <v/>
      </c>
      <c r="K167" s="3"/>
      <c r="L167" s="42"/>
      <c r="U167" s="179" t="str" cm="1">
        <f t="array" ref="U167">IF(C167="",INDEX(C161:C167,MATCH(TRUE,INDEX((C161:C167&lt;&gt;""),0),0)),C167)</f>
        <v>BOS Atlas</v>
      </c>
      <c r="V167" s="180">
        <f t="shared" si="15"/>
        <v>0.73573966710304839</v>
      </c>
      <c r="W167" s="180">
        <v>18000</v>
      </c>
      <c r="X167" s="180"/>
      <c r="Y167" s="180">
        <f t="shared" si="16"/>
        <v>15736</v>
      </c>
      <c r="Z167" s="181"/>
    </row>
    <row r="168" spans="1:26" ht="25" customHeight="1" outlineLevel="1" x14ac:dyDescent="0.35">
      <c r="B168" s="125"/>
      <c r="C168" s="125"/>
      <c r="D168" s="170"/>
      <c r="E168" s="3" t="s">
        <v>113</v>
      </c>
      <c r="F168" s="31" t="s">
        <v>17</v>
      </c>
      <c r="G168" s="35"/>
      <c r="H168" s="57">
        <f t="shared" si="17"/>
        <v>11771.834673648775</v>
      </c>
      <c r="I168" s="57">
        <f t="shared" si="18"/>
        <v>73.573966710304845</v>
      </c>
      <c r="J168" s="58">
        <f t="shared" si="19"/>
        <v>62.537871703759116</v>
      </c>
      <c r="K168" s="3"/>
      <c r="L168" s="42" t="s">
        <v>193</v>
      </c>
      <c r="U168" s="179" t="str" cm="1">
        <f t="array" ref="U168">IF(C168="",INDEX(C162:C168,MATCH(TRUE,INDEX((C162:C168&lt;&gt;""),0),0)),C168)</f>
        <v>BOS Atlas</v>
      </c>
      <c r="V168" s="180">
        <f t="shared" si="15"/>
        <v>0.73573966710304839</v>
      </c>
      <c r="W168" s="180">
        <v>18000</v>
      </c>
      <c r="X168" s="180"/>
      <c r="Y168" s="180">
        <f t="shared" si="16"/>
        <v>15736</v>
      </c>
      <c r="Z168" s="181"/>
    </row>
    <row r="169" spans="1:26" ht="25" customHeight="1" outlineLevel="1" x14ac:dyDescent="0.35">
      <c r="B169" s="125"/>
      <c r="C169" s="125"/>
      <c r="D169" s="125"/>
      <c r="E169" s="3" t="s">
        <v>110</v>
      </c>
      <c r="F169" s="31" t="s">
        <v>17</v>
      </c>
      <c r="G169" s="35"/>
      <c r="H169" s="57">
        <f t="shared" si="17"/>
        <v>6106.6392369553014</v>
      </c>
      <c r="I169" s="57">
        <f t="shared" si="18"/>
        <v>735.73966710304842</v>
      </c>
      <c r="J169" s="58">
        <f t="shared" si="19"/>
        <v>33.108285019637179</v>
      </c>
      <c r="K169" s="3"/>
      <c r="L169" s="42" t="s">
        <v>194</v>
      </c>
      <c r="U169" s="179" t="str" cm="1">
        <f t="array" ref="U169">IF(C169="",INDEX(C163:C169,MATCH(TRUE,INDEX((C163:C169&lt;&gt;""),0),0)),C169)</f>
        <v>BOS Atlas</v>
      </c>
      <c r="V169" s="180">
        <f t="shared" si="15"/>
        <v>0.73573966710304839</v>
      </c>
      <c r="W169" s="180">
        <v>18000</v>
      </c>
      <c r="X169" s="180"/>
      <c r="Y169" s="180">
        <f t="shared" si="16"/>
        <v>15736</v>
      </c>
      <c r="Z169" s="181"/>
    </row>
    <row r="170" spans="1:26" ht="25" customHeight="1" outlineLevel="1" x14ac:dyDescent="0.35">
      <c r="B170" s="126"/>
      <c r="C170" s="126"/>
      <c r="D170" s="126"/>
      <c r="E170" s="4" t="s">
        <v>14</v>
      </c>
      <c r="F170" s="31" t="s">
        <v>21</v>
      </c>
      <c r="G170" s="39"/>
      <c r="H170" s="65" t="str">
        <f t="shared" si="17"/>
        <v/>
      </c>
      <c r="I170" s="65" t="str">
        <f t="shared" si="18"/>
        <v/>
      </c>
      <c r="J170" s="66" t="str">
        <f t="shared" si="19"/>
        <v/>
      </c>
      <c r="K170" s="4"/>
      <c r="L170" s="43"/>
      <c r="U170" s="179" t="str" cm="1">
        <f t="array" ref="U170">IF(C170="",INDEX(C164:C170,MATCH(TRUE,INDEX((C164:C170&lt;&gt;""),0),0)),C170)</f>
        <v>BOS Atlas</v>
      </c>
      <c r="V170" s="180">
        <f t="shared" si="15"/>
        <v>0.73573966710304839</v>
      </c>
      <c r="W170" s="180">
        <v>18000</v>
      </c>
      <c r="X170" s="180"/>
      <c r="Y170" s="180">
        <f t="shared" si="16"/>
        <v>15736</v>
      </c>
      <c r="Z170" s="181"/>
    </row>
    <row r="171" spans="1:26" ht="30" customHeight="1" x14ac:dyDescent="0.35">
      <c r="B171" s="121">
        <v>30</v>
      </c>
      <c r="C171" s="121" t="s">
        <v>51</v>
      </c>
      <c r="D171" s="167" t="s">
        <v>52</v>
      </c>
      <c r="E171" s="27" t="s">
        <v>106</v>
      </c>
      <c r="F171" s="32"/>
      <c r="G171" s="37"/>
      <c r="H171" s="61" t="str">
        <f t="shared" si="17"/>
        <v/>
      </c>
      <c r="I171" s="61" t="str">
        <f t="shared" si="18"/>
        <v/>
      </c>
      <c r="J171" s="62" t="str">
        <f t="shared" si="19"/>
        <v/>
      </c>
      <c r="K171" s="6"/>
      <c r="L171" s="44"/>
      <c r="U171" s="179" t="str" cm="1">
        <f t="array" ref="U171">IF(C171="",INDEX(C165:C171,MATCH(TRUE,INDEX((C165:C171&lt;&gt;""),0),0)),C171)</f>
        <v>BOS Challenge</v>
      </c>
      <c r="V171" s="180">
        <f t="shared" si="15"/>
        <v>0.92860482513559006</v>
      </c>
      <c r="W171" s="180">
        <v>20000</v>
      </c>
      <c r="X171" s="180"/>
      <c r="Y171" s="180">
        <f t="shared" si="16"/>
        <v>19861</v>
      </c>
      <c r="Z171" s="181"/>
    </row>
    <row r="172" spans="1:26" ht="25" customHeight="1" outlineLevel="1" x14ac:dyDescent="0.35">
      <c r="B172" s="122"/>
      <c r="C172" s="122"/>
      <c r="D172" s="168"/>
      <c r="E172" s="6" t="s">
        <v>13</v>
      </c>
      <c r="F172" s="32" t="s">
        <v>21</v>
      </c>
      <c r="G172" s="37"/>
      <c r="H172" s="61" t="str">
        <f t="shared" si="17"/>
        <v/>
      </c>
      <c r="I172" s="61" t="str">
        <f t="shared" si="18"/>
        <v/>
      </c>
      <c r="J172" s="62" t="str">
        <f t="shared" si="19"/>
        <v/>
      </c>
      <c r="K172" s="6"/>
      <c r="L172" s="45"/>
      <c r="U172" s="179" t="str" cm="1">
        <f t="array" ref="U172">IF(C172="",INDEX(C166:C172,MATCH(TRUE,INDEX((C166:C172&lt;&gt;""),0),0)),C172)</f>
        <v>BOS Challenge</v>
      </c>
      <c r="V172" s="180">
        <f t="shared" si="15"/>
        <v>0.92860482513559006</v>
      </c>
      <c r="W172" s="180">
        <v>20000</v>
      </c>
      <c r="X172" s="180"/>
      <c r="Y172" s="180">
        <f t="shared" si="16"/>
        <v>19861</v>
      </c>
      <c r="Z172" s="181"/>
    </row>
    <row r="173" spans="1:26" ht="25" customHeight="1" outlineLevel="1" x14ac:dyDescent="0.35">
      <c r="B173" s="122"/>
      <c r="C173" s="122"/>
      <c r="D173" s="168"/>
      <c r="E173" s="6" t="s">
        <v>114</v>
      </c>
      <c r="F173" s="32" t="s">
        <v>32</v>
      </c>
      <c r="G173" s="37"/>
      <c r="H173" s="61" t="str">
        <f t="shared" si="17"/>
        <v/>
      </c>
      <c r="I173" s="61" t="str">
        <f t="shared" si="18"/>
        <v/>
      </c>
      <c r="J173" s="62" t="str">
        <f t="shared" si="19"/>
        <v/>
      </c>
      <c r="K173" s="6"/>
      <c r="L173" s="45"/>
      <c r="U173" s="179" t="str" cm="1">
        <f t="array" ref="U173">IF(C173="",INDEX(C167:C173,MATCH(TRUE,INDEX((C167:C173&lt;&gt;""),0),0)),C173)</f>
        <v>BOS Challenge</v>
      </c>
      <c r="V173" s="180">
        <f t="shared" si="15"/>
        <v>0.92860482513559006</v>
      </c>
      <c r="W173" s="180">
        <v>20000</v>
      </c>
      <c r="X173" s="180"/>
      <c r="Y173" s="180">
        <f t="shared" si="16"/>
        <v>19861</v>
      </c>
      <c r="Z173" s="181"/>
    </row>
    <row r="174" spans="1:26" ht="25" customHeight="1" outlineLevel="1" x14ac:dyDescent="0.35">
      <c r="B174" s="122"/>
      <c r="C174" s="122"/>
      <c r="D174" s="168"/>
      <c r="E174" s="6" t="s">
        <v>113</v>
      </c>
      <c r="F174" s="32"/>
      <c r="G174" s="37"/>
      <c r="H174" s="61" t="str">
        <f t="shared" si="17"/>
        <v/>
      </c>
      <c r="I174" s="61" t="str">
        <f t="shared" si="18"/>
        <v/>
      </c>
      <c r="J174" s="62" t="str">
        <f t="shared" si="19"/>
        <v/>
      </c>
      <c r="K174" s="6"/>
      <c r="L174" s="45"/>
      <c r="U174" s="179" t="str" cm="1">
        <f t="array" ref="U174">IF(C174="",INDEX(C168:C174,MATCH(TRUE,INDEX((C168:C174&lt;&gt;""),0),0)),C174)</f>
        <v>BOS Challenge</v>
      </c>
      <c r="V174" s="180">
        <f t="shared" si="15"/>
        <v>0.92860482513559006</v>
      </c>
      <c r="W174" s="180">
        <v>20000</v>
      </c>
      <c r="X174" s="180"/>
      <c r="Y174" s="180">
        <f t="shared" si="16"/>
        <v>19861</v>
      </c>
      <c r="Z174" s="181"/>
    </row>
    <row r="175" spans="1:26" ht="25" customHeight="1" outlineLevel="1" x14ac:dyDescent="0.35">
      <c r="B175" s="122"/>
      <c r="C175" s="122"/>
      <c r="D175" s="122"/>
      <c r="E175" s="6" t="s">
        <v>110</v>
      </c>
      <c r="F175" s="32"/>
      <c r="G175" s="37"/>
      <c r="H175" s="61" t="str">
        <f t="shared" si="17"/>
        <v/>
      </c>
      <c r="I175" s="61" t="str">
        <f t="shared" si="18"/>
        <v/>
      </c>
      <c r="J175" s="62" t="str">
        <f t="shared" si="19"/>
        <v/>
      </c>
      <c r="K175" s="6"/>
      <c r="L175" s="45"/>
      <c r="U175" s="179" t="str" cm="1">
        <f t="array" ref="U175">IF(C175="",INDEX(C169:C175,MATCH(TRUE,INDEX((C169:C175&lt;&gt;""),0),0)),C175)</f>
        <v>BOS Challenge</v>
      </c>
      <c r="V175" s="180">
        <f t="shared" si="15"/>
        <v>0.92860482513559006</v>
      </c>
      <c r="W175" s="180">
        <v>20000</v>
      </c>
      <c r="X175" s="180"/>
      <c r="Y175" s="180">
        <f t="shared" si="16"/>
        <v>19861</v>
      </c>
      <c r="Z175" s="181"/>
    </row>
    <row r="176" spans="1:26" ht="25" customHeight="1" outlineLevel="1" x14ac:dyDescent="0.35">
      <c r="B176" s="123"/>
      <c r="C176" s="123"/>
      <c r="D176" s="123"/>
      <c r="E176" s="7" t="s">
        <v>14</v>
      </c>
      <c r="F176" s="32" t="s">
        <v>109</v>
      </c>
      <c r="G176" s="37"/>
      <c r="H176" s="61" t="str">
        <f t="shared" si="17"/>
        <v/>
      </c>
      <c r="I176" s="61" t="str">
        <f t="shared" si="18"/>
        <v/>
      </c>
      <c r="J176" s="62" t="str">
        <f t="shared" si="19"/>
        <v/>
      </c>
      <c r="K176" s="6"/>
      <c r="L176" s="46"/>
      <c r="U176" s="179" t="str" cm="1">
        <f t="array" ref="U176">IF(C176="",INDEX(C170:C176,MATCH(TRUE,INDEX((C170:C176&lt;&gt;""),0),0)),C176)</f>
        <v>BOS Challenge</v>
      </c>
      <c r="V176" s="180">
        <f t="shared" si="15"/>
        <v>0.92860482513559006</v>
      </c>
      <c r="W176" s="180">
        <v>20000</v>
      </c>
      <c r="X176" s="180"/>
      <c r="Y176" s="180">
        <f t="shared" si="16"/>
        <v>19861</v>
      </c>
      <c r="Z176" s="181"/>
    </row>
    <row r="177" spans="1:26" ht="30" customHeight="1" x14ac:dyDescent="0.35">
      <c r="A177" s="8" t="s">
        <v>140</v>
      </c>
      <c r="B177" s="124">
        <v>31</v>
      </c>
      <c r="C177" s="124" t="s">
        <v>53</v>
      </c>
      <c r="D177" s="169" t="s">
        <v>52</v>
      </c>
      <c r="E177" s="26" t="s">
        <v>106</v>
      </c>
      <c r="F177" s="31"/>
      <c r="G177" s="34"/>
      <c r="H177" s="55" t="str">
        <f t="shared" si="17"/>
        <v/>
      </c>
      <c r="I177" s="55" t="str">
        <f t="shared" si="18"/>
        <v/>
      </c>
      <c r="J177" s="56" t="str">
        <f t="shared" si="19"/>
        <v/>
      </c>
      <c r="K177" s="124" t="s">
        <v>186</v>
      </c>
      <c r="L177" s="41"/>
      <c r="U177" s="179" t="str" cm="1">
        <f t="array" ref="U177">IF(C177="",INDEX(C171:C177,MATCH(TRUE,INDEX((C171:C177&lt;&gt;""),0),0)),C177)</f>
        <v>BOS Champion</v>
      </c>
      <c r="V177" s="180">
        <f t="shared" si="15"/>
        <v>0.92860482513559006</v>
      </c>
      <c r="W177" s="180">
        <v>20000</v>
      </c>
      <c r="X177" s="180"/>
      <c r="Y177" s="180">
        <f t="shared" si="16"/>
        <v>19861</v>
      </c>
      <c r="Z177" s="181"/>
    </row>
    <row r="178" spans="1:26" ht="25" customHeight="1" outlineLevel="1" x14ac:dyDescent="0.35">
      <c r="B178" s="125"/>
      <c r="C178" s="125"/>
      <c r="D178" s="170"/>
      <c r="E178" s="3" t="s">
        <v>13</v>
      </c>
      <c r="F178" s="31" t="s">
        <v>17</v>
      </c>
      <c r="G178" s="35">
        <v>42124</v>
      </c>
      <c r="H178" s="57">
        <f t="shared" si="17"/>
        <v>11143.257901627081</v>
      </c>
      <c r="I178" s="57">
        <f t="shared" si="18"/>
        <v>2971.5354404338882</v>
      </c>
      <c r="J178" s="58">
        <f t="shared" si="19"/>
        <v>59.430708808677764</v>
      </c>
      <c r="K178" s="125"/>
      <c r="L178" s="42"/>
      <c r="U178" s="179" t="str" cm="1">
        <f t="array" ref="U178">IF(C178="",INDEX(C172:C178,MATCH(TRUE,INDEX((C172:C178&lt;&gt;""),0),0)),C178)</f>
        <v>BOS Champion</v>
      </c>
      <c r="V178" s="180">
        <f t="shared" si="15"/>
        <v>0.92860482513559006</v>
      </c>
      <c r="W178" s="180">
        <v>20000</v>
      </c>
      <c r="X178" s="180"/>
      <c r="Y178" s="180">
        <f t="shared" si="16"/>
        <v>19861</v>
      </c>
      <c r="Z178" s="181"/>
    </row>
    <row r="179" spans="1:26" ht="25" customHeight="1" outlineLevel="1" x14ac:dyDescent="0.35">
      <c r="B179" s="125"/>
      <c r="C179" s="125"/>
      <c r="D179" s="170"/>
      <c r="E179" s="3" t="s">
        <v>114</v>
      </c>
      <c r="F179" s="31" t="s">
        <v>32</v>
      </c>
      <c r="G179" s="35"/>
      <c r="H179" s="57" t="str">
        <f t="shared" si="17"/>
        <v/>
      </c>
      <c r="I179" s="57" t="str">
        <f t="shared" si="18"/>
        <v/>
      </c>
      <c r="J179" s="58" t="str">
        <f t="shared" si="19"/>
        <v/>
      </c>
      <c r="K179" s="125"/>
      <c r="L179" s="42"/>
      <c r="U179" s="179" t="str" cm="1">
        <f t="array" ref="U179">IF(C179="",INDEX(C173:C179,MATCH(TRUE,INDEX((C173:C179&lt;&gt;""),0),0)),C179)</f>
        <v>BOS Champion</v>
      </c>
      <c r="V179" s="180">
        <f t="shared" si="15"/>
        <v>0.92860482513559006</v>
      </c>
      <c r="W179" s="180">
        <v>20000</v>
      </c>
      <c r="X179" s="180"/>
      <c r="Y179" s="180">
        <f t="shared" si="16"/>
        <v>19861</v>
      </c>
      <c r="Z179" s="181"/>
    </row>
    <row r="180" spans="1:26" ht="25" customHeight="1" outlineLevel="1" x14ac:dyDescent="0.35">
      <c r="B180" s="125"/>
      <c r="C180" s="125"/>
      <c r="D180" s="170"/>
      <c r="E180" s="3" t="s">
        <v>113</v>
      </c>
      <c r="F180" s="31" t="s">
        <v>17</v>
      </c>
      <c r="G180" s="35">
        <v>42124</v>
      </c>
      <c r="H180" s="57">
        <f t="shared" si="17"/>
        <v>14857.677202169441</v>
      </c>
      <c r="I180" s="57">
        <f t="shared" si="18"/>
        <v>92.860482513559006</v>
      </c>
      <c r="J180" s="58">
        <f t="shared" si="19"/>
        <v>78.931410136525159</v>
      </c>
      <c r="K180" s="125"/>
      <c r="L180" s="42" t="s">
        <v>187</v>
      </c>
      <c r="U180" s="179" t="str" cm="1">
        <f t="array" ref="U180">IF(C180="",INDEX(C174:C180,MATCH(TRUE,INDEX((C174:C180&lt;&gt;""),0),0)),C180)</f>
        <v>BOS Champion</v>
      </c>
      <c r="V180" s="180">
        <f t="shared" si="15"/>
        <v>0.92860482513559006</v>
      </c>
      <c r="W180" s="180">
        <v>20000</v>
      </c>
      <c r="X180" s="180"/>
      <c r="Y180" s="180">
        <f t="shared" si="16"/>
        <v>19861</v>
      </c>
      <c r="Z180" s="181"/>
    </row>
    <row r="181" spans="1:26" ht="25" customHeight="1" outlineLevel="1" x14ac:dyDescent="0.35">
      <c r="B181" s="125"/>
      <c r="C181" s="125"/>
      <c r="D181" s="125"/>
      <c r="E181" s="3" t="s">
        <v>110</v>
      </c>
      <c r="F181" s="31" t="s">
        <v>17</v>
      </c>
      <c r="G181" s="35">
        <v>44439</v>
      </c>
      <c r="H181" s="57">
        <f t="shared" si="17"/>
        <v>7707.4200486253976</v>
      </c>
      <c r="I181" s="57">
        <f t="shared" si="18"/>
        <v>928.60482513559009</v>
      </c>
      <c r="J181" s="58">
        <f t="shared" si="19"/>
        <v>41.787217131101556</v>
      </c>
      <c r="K181" s="125"/>
      <c r="L181" s="42"/>
      <c r="U181" s="179" t="str" cm="1">
        <f t="array" ref="U181">IF(C181="",INDEX(C175:C181,MATCH(TRUE,INDEX((C175:C181&lt;&gt;""),0),0)),C181)</f>
        <v>BOS Champion</v>
      </c>
      <c r="V181" s="180">
        <f t="shared" si="15"/>
        <v>0.92860482513559006</v>
      </c>
      <c r="W181" s="180">
        <v>20000</v>
      </c>
      <c r="X181" s="180"/>
      <c r="Y181" s="180">
        <f t="shared" si="16"/>
        <v>19861</v>
      </c>
      <c r="Z181" s="181"/>
    </row>
    <row r="182" spans="1:26" ht="25" customHeight="1" outlineLevel="1" x14ac:dyDescent="0.35">
      <c r="B182" s="126"/>
      <c r="C182" s="126"/>
      <c r="D182" s="126"/>
      <c r="E182" s="4" t="s">
        <v>14</v>
      </c>
      <c r="F182" s="31" t="s">
        <v>109</v>
      </c>
      <c r="G182" s="39"/>
      <c r="H182" s="65" t="str">
        <f t="shared" si="17"/>
        <v/>
      </c>
      <c r="I182" s="65" t="str">
        <f t="shared" si="18"/>
        <v/>
      </c>
      <c r="J182" s="66" t="str">
        <f t="shared" si="19"/>
        <v/>
      </c>
      <c r="K182" s="126"/>
      <c r="L182" s="43"/>
      <c r="U182" s="179" t="str" cm="1">
        <f t="array" ref="U182">IF(C182="",INDEX(C176:C182,MATCH(TRUE,INDEX((C176:C182&lt;&gt;""),0),0)),C182)</f>
        <v>BOS Champion</v>
      </c>
      <c r="V182" s="180">
        <f t="shared" si="15"/>
        <v>0.92860482513559006</v>
      </c>
      <c r="W182" s="180">
        <v>20000</v>
      </c>
      <c r="X182" s="180"/>
      <c r="Y182" s="180">
        <f t="shared" si="16"/>
        <v>19861</v>
      </c>
      <c r="Z182" s="181"/>
    </row>
    <row r="183" spans="1:26" ht="30" customHeight="1" x14ac:dyDescent="0.35">
      <c r="B183" s="121">
        <v>32</v>
      </c>
      <c r="C183" s="121" t="s">
        <v>54</v>
      </c>
      <c r="D183" s="121" t="s">
        <v>55</v>
      </c>
      <c r="E183" s="27" t="s">
        <v>106</v>
      </c>
      <c r="F183" s="32"/>
      <c r="G183" s="37"/>
      <c r="H183" s="61" t="str">
        <f t="shared" si="17"/>
        <v/>
      </c>
      <c r="I183" s="61" t="str">
        <f t="shared" si="18"/>
        <v/>
      </c>
      <c r="J183" s="62" t="str">
        <f t="shared" si="19"/>
        <v/>
      </c>
      <c r="K183" s="6"/>
      <c r="L183" s="44"/>
      <c r="U183" s="179" t="str" cm="1">
        <f t="array" ref="U183">IF(C183="",INDEX(C177:C183,MATCH(TRUE,INDEX((C177:C183&lt;&gt;""),0),0)),C183)</f>
        <v>BOS Aphrodite</v>
      </c>
      <c r="V183" s="180">
        <f t="shared" si="15"/>
        <v>0.73573966710304839</v>
      </c>
      <c r="W183" s="180">
        <v>18000</v>
      </c>
      <c r="X183" s="180"/>
      <c r="Y183" s="180">
        <f t="shared" si="16"/>
        <v>15736</v>
      </c>
      <c r="Z183" s="181"/>
    </row>
    <row r="184" spans="1:26" ht="25" customHeight="1" outlineLevel="1" x14ac:dyDescent="0.35">
      <c r="B184" s="122"/>
      <c r="C184" s="122"/>
      <c r="D184" s="122"/>
      <c r="E184" s="6" t="s">
        <v>13</v>
      </c>
      <c r="F184" s="32"/>
      <c r="G184" s="37"/>
      <c r="H184" s="61" t="str">
        <f t="shared" si="17"/>
        <v/>
      </c>
      <c r="I184" s="61" t="str">
        <f t="shared" si="18"/>
        <v/>
      </c>
      <c r="J184" s="62" t="str">
        <f t="shared" si="19"/>
        <v/>
      </c>
      <c r="K184" s="6"/>
      <c r="L184" s="45"/>
      <c r="U184" s="179" t="str" cm="1">
        <f t="array" ref="U184">IF(C184="",INDEX(C178:C184,MATCH(TRUE,INDEX((C178:C184&lt;&gt;""),0),0)),C184)</f>
        <v>BOS Aphrodite</v>
      </c>
      <c r="V184" s="180">
        <f t="shared" si="15"/>
        <v>0.73573966710304839</v>
      </c>
      <c r="W184" s="180">
        <v>18000</v>
      </c>
      <c r="X184" s="180"/>
      <c r="Y184" s="180">
        <f t="shared" si="16"/>
        <v>15736</v>
      </c>
      <c r="Z184" s="181"/>
    </row>
    <row r="185" spans="1:26" ht="25" customHeight="1" outlineLevel="1" x14ac:dyDescent="0.35">
      <c r="B185" s="122"/>
      <c r="C185" s="122"/>
      <c r="D185" s="122"/>
      <c r="E185" s="6" t="s">
        <v>114</v>
      </c>
      <c r="F185" s="32"/>
      <c r="G185" s="37"/>
      <c r="H185" s="61" t="str">
        <f t="shared" si="17"/>
        <v/>
      </c>
      <c r="I185" s="61" t="str">
        <f t="shared" si="18"/>
        <v/>
      </c>
      <c r="J185" s="62" t="str">
        <f t="shared" si="19"/>
        <v/>
      </c>
      <c r="K185" s="6"/>
      <c r="L185" s="45"/>
      <c r="U185" s="179" t="str" cm="1">
        <f t="array" ref="U185">IF(C185="",INDEX(C179:C185,MATCH(TRUE,INDEX((C179:C185&lt;&gt;""),0),0)),C185)</f>
        <v>BOS Aphrodite</v>
      </c>
      <c r="V185" s="180">
        <f t="shared" si="15"/>
        <v>0.73573966710304839</v>
      </c>
      <c r="W185" s="180">
        <v>18000</v>
      </c>
      <c r="X185" s="180"/>
      <c r="Y185" s="180">
        <f t="shared" si="16"/>
        <v>15736</v>
      </c>
      <c r="Z185" s="181"/>
    </row>
    <row r="186" spans="1:26" ht="25" customHeight="1" outlineLevel="1" x14ac:dyDescent="0.35">
      <c r="B186" s="122"/>
      <c r="C186" s="122"/>
      <c r="D186" s="122"/>
      <c r="E186" s="6" t="s">
        <v>113</v>
      </c>
      <c r="F186" s="32"/>
      <c r="G186" s="37"/>
      <c r="H186" s="61" t="str">
        <f t="shared" si="17"/>
        <v/>
      </c>
      <c r="I186" s="61" t="str">
        <f t="shared" si="18"/>
        <v/>
      </c>
      <c r="J186" s="62" t="str">
        <f t="shared" si="19"/>
        <v/>
      </c>
      <c r="K186" s="6"/>
      <c r="L186" s="45"/>
      <c r="U186" s="179" t="str" cm="1">
        <f t="array" ref="U186">IF(C186="",INDEX(C180:C186,MATCH(TRUE,INDEX((C180:C186&lt;&gt;""),0),0)),C186)</f>
        <v>BOS Aphrodite</v>
      </c>
      <c r="V186" s="180">
        <f t="shared" si="15"/>
        <v>0.73573966710304839</v>
      </c>
      <c r="W186" s="180">
        <v>18000</v>
      </c>
      <c r="X186" s="180"/>
      <c r="Y186" s="180">
        <f t="shared" si="16"/>
        <v>15736</v>
      </c>
      <c r="Z186" s="181"/>
    </row>
    <row r="187" spans="1:26" ht="25" customHeight="1" outlineLevel="1" x14ac:dyDescent="0.35">
      <c r="B187" s="122"/>
      <c r="C187" s="122"/>
      <c r="D187" s="122"/>
      <c r="E187" s="6" t="s">
        <v>110</v>
      </c>
      <c r="F187" s="32"/>
      <c r="G187" s="37"/>
      <c r="H187" s="61" t="str">
        <f t="shared" si="17"/>
        <v/>
      </c>
      <c r="I187" s="61" t="str">
        <f t="shared" si="18"/>
        <v/>
      </c>
      <c r="J187" s="62" t="str">
        <f t="shared" si="19"/>
        <v/>
      </c>
      <c r="K187" s="6"/>
      <c r="L187" s="45"/>
      <c r="U187" s="179" t="str" cm="1">
        <f t="array" ref="U187">IF(C187="",INDEX(C181:C187,MATCH(TRUE,INDEX((C181:C187&lt;&gt;""),0),0)),C187)</f>
        <v>BOS Aphrodite</v>
      </c>
      <c r="V187" s="180">
        <f t="shared" si="15"/>
        <v>0.73573966710304839</v>
      </c>
      <c r="W187" s="180">
        <v>18000</v>
      </c>
      <c r="X187" s="180"/>
      <c r="Y187" s="180">
        <f t="shared" si="16"/>
        <v>15736</v>
      </c>
      <c r="Z187" s="181"/>
    </row>
    <row r="188" spans="1:26" ht="25" customHeight="1" outlineLevel="1" x14ac:dyDescent="0.35">
      <c r="B188" s="123"/>
      <c r="C188" s="123"/>
      <c r="D188" s="123"/>
      <c r="E188" s="7" t="s">
        <v>14</v>
      </c>
      <c r="F188" s="32" t="s">
        <v>21</v>
      </c>
      <c r="G188" s="37"/>
      <c r="H188" s="61" t="str">
        <f t="shared" si="17"/>
        <v/>
      </c>
      <c r="I188" s="61" t="str">
        <f t="shared" si="18"/>
        <v/>
      </c>
      <c r="J188" s="62" t="str">
        <f t="shared" si="19"/>
        <v/>
      </c>
      <c r="K188" s="6"/>
      <c r="L188" s="46"/>
      <c r="U188" s="179" t="str" cm="1">
        <f t="array" ref="U188">IF(C188="",INDEX(C182:C188,MATCH(TRUE,INDEX((C182:C188&lt;&gt;""),0),0)),C188)</f>
        <v>BOS Aphrodite</v>
      </c>
      <c r="V188" s="180">
        <f t="shared" si="15"/>
        <v>0.73573966710304839</v>
      </c>
      <c r="W188" s="180">
        <v>18000</v>
      </c>
      <c r="X188" s="180"/>
      <c r="Y188" s="180">
        <f t="shared" si="16"/>
        <v>15736</v>
      </c>
      <c r="Z188" s="181"/>
    </row>
    <row r="189" spans="1:26" ht="30" customHeight="1" x14ac:dyDescent="0.35">
      <c r="A189" s="8" t="s">
        <v>140</v>
      </c>
      <c r="B189" s="124">
        <v>33</v>
      </c>
      <c r="C189" s="124" t="s">
        <v>56</v>
      </c>
      <c r="D189" s="124" t="s">
        <v>172</v>
      </c>
      <c r="E189" s="26" t="s">
        <v>106</v>
      </c>
      <c r="F189" s="31"/>
      <c r="G189" s="34"/>
      <c r="H189" s="55" t="str">
        <f t="shared" si="17"/>
        <v/>
      </c>
      <c r="I189" s="55" t="str">
        <f t="shared" si="18"/>
        <v/>
      </c>
      <c r="J189" s="56" t="str">
        <f t="shared" si="19"/>
        <v/>
      </c>
      <c r="K189" s="127" t="s">
        <v>173</v>
      </c>
      <c r="L189" s="41"/>
      <c r="U189" s="179" t="str" cm="1">
        <f t="array" ref="U189">IF(C189="",INDEX(C183:C189,MATCH(TRUE,INDEX((C183:C189&lt;&gt;""),0),0)),C189)</f>
        <v>BOS Apollo</v>
      </c>
      <c r="V189" s="180">
        <f t="shared" si="15"/>
        <v>0.73573966710304839</v>
      </c>
      <c r="W189" s="180">
        <v>18000</v>
      </c>
      <c r="X189" s="180"/>
      <c r="Y189" s="180">
        <f t="shared" si="16"/>
        <v>15736</v>
      </c>
      <c r="Z189" s="181"/>
    </row>
    <row r="190" spans="1:26" ht="25" customHeight="1" outlineLevel="1" x14ac:dyDescent="0.35">
      <c r="B190" s="125"/>
      <c r="C190" s="125"/>
      <c r="D190" s="125"/>
      <c r="E190" s="3" t="s">
        <v>13</v>
      </c>
      <c r="F190" s="31" t="s">
        <v>17</v>
      </c>
      <c r="G190" s="35">
        <v>40801</v>
      </c>
      <c r="H190" s="57">
        <f t="shared" si="17"/>
        <v>8828.8760052365815</v>
      </c>
      <c r="I190" s="57">
        <f t="shared" si="18"/>
        <v>2354.366934729755</v>
      </c>
      <c r="J190" s="58">
        <f t="shared" si="19"/>
        <v>47.087338694595097</v>
      </c>
      <c r="K190" s="125"/>
      <c r="L190" s="42"/>
      <c r="U190" s="179" t="str" cm="1">
        <f t="array" ref="U190">IF(C190="",INDEX(C184:C190,MATCH(TRUE,INDEX((C184:C190&lt;&gt;""),0),0)),C190)</f>
        <v>BOS Apollo</v>
      </c>
      <c r="V190" s="180">
        <f t="shared" si="15"/>
        <v>0.73573966710304839</v>
      </c>
      <c r="W190" s="180">
        <v>18000</v>
      </c>
      <c r="X190" s="180"/>
      <c r="Y190" s="180">
        <f t="shared" si="16"/>
        <v>15736</v>
      </c>
      <c r="Z190" s="181"/>
    </row>
    <row r="191" spans="1:26" ht="25" customHeight="1" outlineLevel="1" x14ac:dyDescent="0.35">
      <c r="B191" s="125"/>
      <c r="C191" s="125"/>
      <c r="D191" s="125"/>
      <c r="E191" s="3" t="s">
        <v>114</v>
      </c>
      <c r="F191" s="31" t="s">
        <v>21</v>
      </c>
      <c r="G191" s="35"/>
      <c r="H191" s="57" t="str">
        <f t="shared" si="17"/>
        <v/>
      </c>
      <c r="I191" s="57" t="str">
        <f t="shared" si="18"/>
        <v/>
      </c>
      <c r="J191" s="58" t="str">
        <f t="shared" si="19"/>
        <v/>
      </c>
      <c r="K191" s="125"/>
      <c r="L191" s="42"/>
      <c r="U191" s="179" t="str" cm="1">
        <f t="array" ref="U191">IF(C191="",INDEX(C185:C191,MATCH(TRUE,INDEX((C185:C191&lt;&gt;""),0),0)),C191)</f>
        <v>BOS Apollo</v>
      </c>
      <c r="V191" s="180">
        <f t="shared" si="15"/>
        <v>0.73573966710304839</v>
      </c>
      <c r="W191" s="180">
        <v>18000</v>
      </c>
      <c r="X191" s="180"/>
      <c r="Y191" s="180">
        <f t="shared" si="16"/>
        <v>15736</v>
      </c>
      <c r="Z191" s="181"/>
    </row>
    <row r="192" spans="1:26" ht="25" customHeight="1" outlineLevel="1" x14ac:dyDescent="0.35">
      <c r="B192" s="125"/>
      <c r="C192" s="125"/>
      <c r="D192" s="125"/>
      <c r="E192" s="3" t="s">
        <v>113</v>
      </c>
      <c r="F192" s="31" t="s">
        <v>21</v>
      </c>
      <c r="G192" s="35">
        <v>40801</v>
      </c>
      <c r="H192" s="57" t="str">
        <f t="shared" si="17"/>
        <v/>
      </c>
      <c r="I192" s="57" t="str">
        <f t="shared" si="18"/>
        <v/>
      </c>
      <c r="J192" s="58" t="str">
        <f t="shared" si="19"/>
        <v/>
      </c>
      <c r="K192" s="125"/>
      <c r="L192" s="42"/>
      <c r="U192" s="179" t="str" cm="1">
        <f t="array" ref="U192">IF(C192="",INDEX(C186:C192,MATCH(TRUE,INDEX((C186:C192&lt;&gt;""),0),0)),C192)</f>
        <v>BOS Apollo</v>
      </c>
      <c r="V192" s="180">
        <f t="shared" si="15"/>
        <v>0.73573966710304839</v>
      </c>
      <c r="W192" s="180">
        <v>18000</v>
      </c>
      <c r="X192" s="180"/>
      <c r="Y192" s="180">
        <f t="shared" si="16"/>
        <v>15736</v>
      </c>
      <c r="Z192" s="181"/>
    </row>
    <row r="193" spans="1:26" ht="25" customHeight="1" outlineLevel="1" x14ac:dyDescent="0.35">
      <c r="B193" s="125"/>
      <c r="C193" s="125"/>
      <c r="D193" s="125"/>
      <c r="E193" s="3" t="s">
        <v>110</v>
      </c>
      <c r="F193" s="31" t="s">
        <v>17</v>
      </c>
      <c r="G193" s="35">
        <v>45047</v>
      </c>
      <c r="H193" s="57">
        <f t="shared" si="17"/>
        <v>6106.6392369553014</v>
      </c>
      <c r="I193" s="57">
        <f t="shared" si="18"/>
        <v>735.73966710304842</v>
      </c>
      <c r="J193" s="58">
        <f t="shared" si="19"/>
        <v>33.108285019637179</v>
      </c>
      <c r="K193" s="125"/>
      <c r="L193" s="42"/>
      <c r="U193" s="179" t="str" cm="1">
        <f t="array" ref="U193">IF(C193="",INDEX(C187:C193,MATCH(TRUE,INDEX((C187:C193&lt;&gt;""),0),0)),C193)</f>
        <v>BOS Apollo</v>
      </c>
      <c r="V193" s="180">
        <f t="shared" si="15"/>
        <v>0.73573966710304839</v>
      </c>
      <c r="W193" s="180">
        <v>18000</v>
      </c>
      <c r="X193" s="180"/>
      <c r="Y193" s="180">
        <f t="shared" si="16"/>
        <v>15736</v>
      </c>
      <c r="Z193" s="181"/>
    </row>
    <row r="194" spans="1:26" ht="25" customHeight="1" outlineLevel="1" x14ac:dyDescent="0.35">
      <c r="B194" s="126"/>
      <c r="C194" s="126"/>
      <c r="D194" s="126"/>
      <c r="E194" s="4" t="s">
        <v>14</v>
      </c>
      <c r="F194" s="31" t="s">
        <v>21</v>
      </c>
      <c r="G194" s="39"/>
      <c r="H194" s="65" t="str">
        <f t="shared" si="17"/>
        <v/>
      </c>
      <c r="I194" s="65" t="str">
        <f t="shared" si="18"/>
        <v/>
      </c>
      <c r="J194" s="66" t="str">
        <f t="shared" si="19"/>
        <v/>
      </c>
      <c r="K194" s="126"/>
      <c r="L194" s="43"/>
      <c r="U194" s="179" t="str" cm="1">
        <f t="array" ref="U194">IF(C194="",INDEX(C188:C194,MATCH(TRUE,INDEX((C188:C194&lt;&gt;""),0),0)),C194)</f>
        <v>BOS Apollo</v>
      </c>
      <c r="V194" s="180">
        <f t="shared" si="15"/>
        <v>0.73573966710304839</v>
      </c>
      <c r="W194" s="180">
        <v>18000</v>
      </c>
      <c r="X194" s="180"/>
      <c r="Y194" s="180">
        <f t="shared" si="16"/>
        <v>15736</v>
      </c>
      <c r="Z194" s="181"/>
    </row>
    <row r="195" spans="1:26" ht="30" customHeight="1" x14ac:dyDescent="0.35">
      <c r="A195" s="8" t="s">
        <v>140</v>
      </c>
      <c r="B195" s="121">
        <v>34</v>
      </c>
      <c r="C195" s="121" t="s">
        <v>57</v>
      </c>
      <c r="D195" s="121" t="s">
        <v>55</v>
      </c>
      <c r="E195" s="27" t="s">
        <v>106</v>
      </c>
      <c r="F195" s="32"/>
      <c r="G195" s="37"/>
      <c r="H195" s="61" t="str">
        <f t="shared" si="17"/>
        <v/>
      </c>
      <c r="I195" s="61" t="str">
        <f t="shared" si="18"/>
        <v/>
      </c>
      <c r="J195" s="62" t="str">
        <f t="shared" si="19"/>
        <v/>
      </c>
      <c r="K195" s="6"/>
      <c r="L195" s="44"/>
      <c r="U195" s="179" t="str" cm="1">
        <f t="array" ref="U195">IF(C195="",INDEX(C189:C195,MATCH(TRUE,INDEX((C189:C195&lt;&gt;""),0),0)),C195)</f>
        <v>BOS Athos</v>
      </c>
      <c r="V195" s="180">
        <f t="shared" si="15"/>
        <v>0.73573966710304839</v>
      </c>
      <c r="W195" s="180">
        <v>18000</v>
      </c>
      <c r="X195" s="180"/>
      <c r="Y195" s="180">
        <f t="shared" si="16"/>
        <v>15736</v>
      </c>
      <c r="Z195" s="181"/>
    </row>
    <row r="196" spans="1:26" ht="25" customHeight="1" outlineLevel="1" x14ac:dyDescent="0.35">
      <c r="B196" s="122"/>
      <c r="C196" s="122"/>
      <c r="D196" s="122"/>
      <c r="E196" s="6" t="s">
        <v>13</v>
      </c>
      <c r="F196" s="32" t="s">
        <v>21</v>
      </c>
      <c r="G196" s="37"/>
      <c r="H196" s="61" t="str">
        <f t="shared" si="17"/>
        <v/>
      </c>
      <c r="I196" s="61" t="str">
        <f t="shared" si="18"/>
        <v/>
      </c>
      <c r="J196" s="62" t="str">
        <f t="shared" si="19"/>
        <v/>
      </c>
      <c r="K196" s="6"/>
      <c r="L196" s="45"/>
      <c r="U196" s="179" t="str" cm="1">
        <f t="array" ref="U196">IF(C196="",INDEX(C190:C196,MATCH(TRUE,INDEX((C190:C196&lt;&gt;""),0),0)),C196)</f>
        <v>BOS Athos</v>
      </c>
      <c r="V196" s="180">
        <f t="shared" si="15"/>
        <v>0.73573966710304839</v>
      </c>
      <c r="W196" s="180">
        <v>18000</v>
      </c>
      <c r="X196" s="180"/>
      <c r="Y196" s="180">
        <f t="shared" si="16"/>
        <v>15736</v>
      </c>
      <c r="Z196" s="181"/>
    </row>
    <row r="197" spans="1:26" ht="25" customHeight="1" outlineLevel="1" x14ac:dyDescent="0.35">
      <c r="B197" s="122"/>
      <c r="C197" s="122"/>
      <c r="D197" s="122"/>
      <c r="E197" s="6" t="s">
        <v>114</v>
      </c>
      <c r="F197" s="32" t="s">
        <v>21</v>
      </c>
      <c r="G197" s="37"/>
      <c r="H197" s="61" t="str">
        <f t="shared" si="17"/>
        <v/>
      </c>
      <c r="I197" s="61" t="str">
        <f t="shared" si="18"/>
        <v/>
      </c>
      <c r="J197" s="62" t="str">
        <f t="shared" si="19"/>
        <v/>
      </c>
      <c r="K197" s="6"/>
      <c r="L197" s="45"/>
      <c r="U197" s="179" t="str" cm="1">
        <f t="array" ref="U197">IF(C197="",INDEX(C191:C197,MATCH(TRUE,INDEX((C191:C197&lt;&gt;""),0),0)),C197)</f>
        <v>BOS Athos</v>
      </c>
      <c r="V197" s="180">
        <f t="shared" si="15"/>
        <v>0.73573966710304839</v>
      </c>
      <c r="W197" s="180">
        <v>18000</v>
      </c>
      <c r="X197" s="180"/>
      <c r="Y197" s="180">
        <f t="shared" si="16"/>
        <v>15736</v>
      </c>
      <c r="Z197" s="181"/>
    </row>
    <row r="198" spans="1:26" ht="25" customHeight="1" outlineLevel="1" x14ac:dyDescent="0.35">
      <c r="B198" s="122"/>
      <c r="C198" s="122"/>
      <c r="D198" s="122"/>
      <c r="E198" s="6" t="s">
        <v>113</v>
      </c>
      <c r="F198" s="32" t="s">
        <v>21</v>
      </c>
      <c r="G198" s="37"/>
      <c r="H198" s="61" t="str">
        <f t="shared" si="17"/>
        <v/>
      </c>
      <c r="I198" s="61" t="str">
        <f t="shared" si="18"/>
        <v/>
      </c>
      <c r="J198" s="62" t="str">
        <f t="shared" si="19"/>
        <v/>
      </c>
      <c r="K198" s="6"/>
      <c r="L198" s="45"/>
      <c r="U198" s="179" t="str" cm="1">
        <f t="array" ref="U198">IF(C198="",INDEX(C192:C198,MATCH(TRUE,INDEX((C192:C198&lt;&gt;""),0),0)),C198)</f>
        <v>BOS Athos</v>
      </c>
      <c r="V198" s="180">
        <f t="shared" si="15"/>
        <v>0.73573966710304839</v>
      </c>
      <c r="W198" s="180">
        <v>18000</v>
      </c>
      <c r="X198" s="180"/>
      <c r="Y198" s="180">
        <f t="shared" si="16"/>
        <v>15736</v>
      </c>
      <c r="Z198" s="181"/>
    </row>
    <row r="199" spans="1:26" ht="25" customHeight="1" outlineLevel="1" x14ac:dyDescent="0.35">
      <c r="B199" s="122"/>
      <c r="C199" s="122"/>
      <c r="D199" s="122"/>
      <c r="E199" s="6" t="s">
        <v>110</v>
      </c>
      <c r="F199" s="32" t="s">
        <v>21</v>
      </c>
      <c r="G199" s="37"/>
      <c r="H199" s="61" t="str">
        <f t="shared" si="17"/>
        <v/>
      </c>
      <c r="I199" s="61" t="str">
        <f t="shared" si="18"/>
        <v/>
      </c>
      <c r="J199" s="62" t="str">
        <f t="shared" si="19"/>
        <v/>
      </c>
      <c r="K199" s="6"/>
      <c r="L199" s="45"/>
      <c r="U199" s="179" t="str" cm="1">
        <f t="array" ref="U199">IF(C199="",INDEX(C193:C199,MATCH(TRUE,INDEX((C193:C199&lt;&gt;""),0),0)),C199)</f>
        <v>BOS Athos</v>
      </c>
      <c r="V199" s="180">
        <f t="shared" si="15"/>
        <v>0.73573966710304839</v>
      </c>
      <c r="W199" s="180">
        <v>18000</v>
      </c>
      <c r="X199" s="180"/>
      <c r="Y199" s="180">
        <f t="shared" si="16"/>
        <v>15736</v>
      </c>
      <c r="Z199" s="181"/>
    </row>
    <row r="200" spans="1:26" ht="25" customHeight="1" outlineLevel="1" x14ac:dyDescent="0.35">
      <c r="B200" s="123"/>
      <c r="C200" s="123"/>
      <c r="D200" s="123"/>
      <c r="E200" s="7" t="s">
        <v>14</v>
      </c>
      <c r="F200" s="32" t="s">
        <v>21</v>
      </c>
      <c r="G200" s="37"/>
      <c r="H200" s="61" t="str">
        <f t="shared" si="17"/>
        <v/>
      </c>
      <c r="I200" s="61" t="str">
        <f t="shared" si="18"/>
        <v/>
      </c>
      <c r="J200" s="62" t="str">
        <f t="shared" si="19"/>
        <v/>
      </c>
      <c r="K200" s="6"/>
      <c r="L200" s="46"/>
      <c r="U200" s="179" t="str" cm="1">
        <f t="array" ref="U200">IF(C200="",INDEX(C194:C200,MATCH(TRUE,INDEX((C194:C200&lt;&gt;""),0),0)),C200)</f>
        <v>BOS Athos</v>
      </c>
      <c r="V200" s="180">
        <f t="shared" si="15"/>
        <v>0.73573966710304839</v>
      </c>
      <c r="W200" s="180">
        <v>18000</v>
      </c>
      <c r="X200" s="180"/>
      <c r="Y200" s="180">
        <f t="shared" si="16"/>
        <v>15736</v>
      </c>
      <c r="Z200" s="181"/>
    </row>
    <row r="201" spans="1:26" ht="30" customHeight="1" x14ac:dyDescent="0.35">
      <c r="B201" s="124">
        <v>35</v>
      </c>
      <c r="C201" s="124" t="s">
        <v>58</v>
      </c>
      <c r="D201" s="124" t="s">
        <v>59</v>
      </c>
      <c r="E201" s="26" t="s">
        <v>106</v>
      </c>
      <c r="F201" s="31"/>
      <c r="G201" s="34"/>
      <c r="H201" s="55" t="str">
        <f t="shared" si="17"/>
        <v/>
      </c>
      <c r="I201" s="55" t="str">
        <f t="shared" si="18"/>
        <v/>
      </c>
      <c r="J201" s="56" t="str">
        <f t="shared" si="19"/>
        <v/>
      </c>
      <c r="K201" s="2"/>
      <c r="L201" s="41"/>
      <c r="U201" s="179" t="str" cm="1">
        <f t="array" ref="U201">IF(C201="",INDEX(C195:C201,MATCH(TRUE,INDEX((C195:C201&lt;&gt;""),0),0)),C201)</f>
        <v>BOS Chablis</v>
      </c>
      <c r="V201" s="180">
        <f t="shared" si="15"/>
        <v>0.92860482513559006</v>
      </c>
      <c r="W201" s="180">
        <v>20000</v>
      </c>
      <c r="X201" s="180"/>
      <c r="Y201" s="180">
        <f t="shared" si="16"/>
        <v>19861</v>
      </c>
      <c r="Z201" s="181"/>
    </row>
    <row r="202" spans="1:26" ht="25" customHeight="1" outlineLevel="1" x14ac:dyDescent="0.35">
      <c r="B202" s="125"/>
      <c r="C202" s="125"/>
      <c r="D202" s="125"/>
      <c r="E202" s="3" t="s">
        <v>13</v>
      </c>
      <c r="F202" s="31" t="s">
        <v>17</v>
      </c>
      <c r="G202" s="35"/>
      <c r="H202" s="57">
        <f t="shared" si="17"/>
        <v>11143.257901627081</v>
      </c>
      <c r="I202" s="57">
        <f t="shared" si="18"/>
        <v>2971.5354404338882</v>
      </c>
      <c r="J202" s="58">
        <f t="shared" si="19"/>
        <v>59.430708808677764</v>
      </c>
      <c r="K202" s="3"/>
      <c r="L202" s="42"/>
      <c r="U202" s="179" t="str" cm="1">
        <f t="array" ref="U202">IF(C202="",INDEX(C196:C202,MATCH(TRUE,INDEX((C196:C202&lt;&gt;""),0),0)),C202)</f>
        <v>BOS Chablis</v>
      </c>
      <c r="V202" s="180">
        <f t="shared" ref="V202:V265" si="20">MIN(Y202/21388,1.3)</f>
        <v>0.92860482513559006</v>
      </c>
      <c r="W202" s="180">
        <v>20000</v>
      </c>
      <c r="X202" s="180"/>
      <c r="Y202" s="180">
        <f t="shared" ref="Y202:Y265" si="21">INT(VLOOKUP(U202, $AB$30:$AH$96, 7, FALSE))</f>
        <v>19861</v>
      </c>
      <c r="Z202" s="181"/>
    </row>
    <row r="203" spans="1:26" ht="25" customHeight="1" outlineLevel="1" x14ac:dyDescent="0.35">
      <c r="B203" s="125"/>
      <c r="C203" s="125"/>
      <c r="D203" s="125"/>
      <c r="E203" s="3" t="s">
        <v>113</v>
      </c>
      <c r="F203" s="31"/>
      <c r="G203" s="35"/>
      <c r="H203" s="57" t="str">
        <f t="shared" si="17"/>
        <v/>
      </c>
      <c r="I203" s="57" t="str">
        <f t="shared" si="18"/>
        <v/>
      </c>
      <c r="J203" s="58" t="str">
        <f t="shared" si="19"/>
        <v/>
      </c>
      <c r="K203" s="3"/>
      <c r="L203" s="42"/>
      <c r="U203" s="179" t="str" cm="1">
        <f t="array" ref="U203">IF(C203="",INDEX(C197:C203,MATCH(TRUE,INDEX((C197:C203&lt;&gt;""),0),0)),C203)</f>
        <v>BOS Chablis</v>
      </c>
      <c r="V203" s="180">
        <f t="shared" si="20"/>
        <v>0.92860482513559006</v>
      </c>
      <c r="W203" s="180">
        <v>20000</v>
      </c>
      <c r="X203" s="180"/>
      <c r="Y203" s="180">
        <f t="shared" si="21"/>
        <v>19861</v>
      </c>
      <c r="Z203" s="181"/>
    </row>
    <row r="204" spans="1:26" ht="25" customHeight="1" outlineLevel="1" x14ac:dyDescent="0.35">
      <c r="B204" s="125"/>
      <c r="C204" s="125"/>
      <c r="D204" s="125"/>
      <c r="E204" s="3" t="s">
        <v>114</v>
      </c>
      <c r="F204" s="31"/>
      <c r="G204" s="35"/>
      <c r="H204" s="57" t="str">
        <f t="shared" si="17"/>
        <v/>
      </c>
      <c r="I204" s="57" t="str">
        <f t="shared" si="18"/>
        <v/>
      </c>
      <c r="J204" s="58" t="str">
        <f t="shared" si="19"/>
        <v/>
      </c>
      <c r="K204" s="3"/>
      <c r="L204" s="42"/>
      <c r="U204" s="179" t="str" cm="1">
        <f t="array" ref="U204">IF(C204="",INDEX(C198:C204,MATCH(TRUE,INDEX((C198:C204&lt;&gt;""),0),0)),C204)</f>
        <v>BOS Chablis</v>
      </c>
      <c r="V204" s="180">
        <f t="shared" si="20"/>
        <v>0.92860482513559006</v>
      </c>
      <c r="W204" s="180">
        <v>20000</v>
      </c>
      <c r="X204" s="180"/>
      <c r="Y204" s="180">
        <f t="shared" si="21"/>
        <v>19861</v>
      </c>
      <c r="Z204" s="181"/>
    </row>
    <row r="205" spans="1:26" ht="25" customHeight="1" outlineLevel="1" x14ac:dyDescent="0.35">
      <c r="B205" s="125"/>
      <c r="C205" s="125"/>
      <c r="D205" s="125"/>
      <c r="E205" s="3" t="s">
        <v>110</v>
      </c>
      <c r="F205" s="31"/>
      <c r="G205" s="35"/>
      <c r="H205" s="57" t="str">
        <f t="shared" si="17"/>
        <v/>
      </c>
      <c r="I205" s="57" t="str">
        <f t="shared" si="18"/>
        <v/>
      </c>
      <c r="J205" s="58" t="str">
        <f t="shared" si="19"/>
        <v/>
      </c>
      <c r="K205" s="3"/>
      <c r="L205" s="42"/>
      <c r="U205" s="179" t="str" cm="1">
        <f t="array" ref="U205">IF(C205="",INDEX(C199:C205,MATCH(TRUE,INDEX((C199:C205&lt;&gt;""),0),0)),C205)</f>
        <v>BOS Chablis</v>
      </c>
      <c r="V205" s="180">
        <f t="shared" si="20"/>
        <v>0.92860482513559006</v>
      </c>
      <c r="W205" s="180">
        <v>20000</v>
      </c>
      <c r="X205" s="180"/>
      <c r="Y205" s="180">
        <f t="shared" si="21"/>
        <v>19861</v>
      </c>
      <c r="Z205" s="181"/>
    </row>
    <row r="206" spans="1:26" ht="25" customHeight="1" outlineLevel="1" x14ac:dyDescent="0.35">
      <c r="B206" s="126"/>
      <c r="C206" s="126"/>
      <c r="D206" s="126"/>
      <c r="E206" s="4" t="s">
        <v>14</v>
      </c>
      <c r="F206" s="31" t="s">
        <v>17</v>
      </c>
      <c r="G206" s="39"/>
      <c r="H206" s="65">
        <f t="shared" si="17"/>
        <v>2321.512062838975</v>
      </c>
      <c r="I206" s="65">
        <f t="shared" si="18"/>
        <v>2971.5354404338882</v>
      </c>
      <c r="J206" s="66">
        <f t="shared" si="19"/>
        <v>10.214653076491491</v>
      </c>
      <c r="K206" s="4"/>
      <c r="L206" s="43"/>
      <c r="U206" s="179" t="str" cm="1">
        <f t="array" ref="U206">IF(C206="",INDEX(C200:C206,MATCH(TRUE,INDEX((C200:C206&lt;&gt;""),0),0)),C206)</f>
        <v>BOS Chablis</v>
      </c>
      <c r="V206" s="180">
        <f t="shared" si="20"/>
        <v>0.92860482513559006</v>
      </c>
      <c r="W206" s="180">
        <v>20000</v>
      </c>
      <c r="X206" s="180"/>
      <c r="Y206" s="180">
        <f t="shared" si="21"/>
        <v>19861</v>
      </c>
      <c r="Z206" s="181"/>
    </row>
    <row r="207" spans="1:26" ht="30" customHeight="1" x14ac:dyDescent="0.35">
      <c r="A207" s="8" t="s">
        <v>140</v>
      </c>
      <c r="B207" s="121">
        <v>36</v>
      </c>
      <c r="C207" s="121" t="s">
        <v>60</v>
      </c>
      <c r="D207" s="121" t="s">
        <v>59</v>
      </c>
      <c r="E207" s="27" t="s">
        <v>106</v>
      </c>
      <c r="F207" s="32"/>
      <c r="G207" s="37"/>
      <c r="H207" s="61" t="str">
        <f t="shared" si="17"/>
        <v/>
      </c>
      <c r="I207" s="61" t="str">
        <f t="shared" si="18"/>
        <v/>
      </c>
      <c r="J207" s="62" t="str">
        <f t="shared" si="19"/>
        <v/>
      </c>
      <c r="K207" s="6"/>
      <c r="L207" s="44"/>
      <c r="U207" s="179" t="str" cm="1">
        <f t="array" ref="U207">IF(C207="",INDEX(C201:C207,MATCH(TRUE,INDEX((C201:C207&lt;&gt;""),0),0)),C207)</f>
        <v>BOS Champagne</v>
      </c>
      <c r="V207" s="180">
        <f t="shared" si="20"/>
        <v>0.92860482513559006</v>
      </c>
      <c r="W207" s="180">
        <v>20000</v>
      </c>
      <c r="X207" s="180"/>
      <c r="Y207" s="180">
        <f t="shared" si="21"/>
        <v>19861</v>
      </c>
      <c r="Z207" s="181"/>
    </row>
    <row r="208" spans="1:26" ht="25" customHeight="1" outlineLevel="1" x14ac:dyDescent="0.35">
      <c r="B208" s="122"/>
      <c r="C208" s="122"/>
      <c r="D208" s="122"/>
      <c r="E208" s="6" t="s">
        <v>13</v>
      </c>
      <c r="F208" s="32" t="s">
        <v>17</v>
      </c>
      <c r="G208" s="37"/>
      <c r="H208" s="61">
        <f t="shared" si="17"/>
        <v>11143.257901627081</v>
      </c>
      <c r="I208" s="61">
        <f t="shared" si="18"/>
        <v>2971.5354404338882</v>
      </c>
      <c r="J208" s="62">
        <f t="shared" si="19"/>
        <v>59.430708808677764</v>
      </c>
      <c r="K208" s="6"/>
      <c r="L208" s="45"/>
      <c r="U208" s="179" t="str" cm="1">
        <f t="array" ref="U208">IF(C208="",INDEX(C202:C208,MATCH(TRUE,INDEX((C202:C208&lt;&gt;""),0),0)),C208)</f>
        <v>BOS Champagne</v>
      </c>
      <c r="V208" s="180">
        <f t="shared" si="20"/>
        <v>0.92860482513559006</v>
      </c>
      <c r="W208" s="180">
        <v>20000</v>
      </c>
      <c r="X208" s="180"/>
      <c r="Y208" s="180">
        <f t="shared" si="21"/>
        <v>19861</v>
      </c>
      <c r="Z208" s="181"/>
    </row>
    <row r="209" spans="2:26" ht="25" customHeight="1" outlineLevel="1" x14ac:dyDescent="0.35">
      <c r="B209" s="122"/>
      <c r="C209" s="122"/>
      <c r="D209" s="122"/>
      <c r="E209" s="6" t="s">
        <v>114</v>
      </c>
      <c r="F209" s="32" t="s">
        <v>21</v>
      </c>
      <c r="G209" s="37"/>
      <c r="H209" s="61" t="str">
        <f t="shared" si="17"/>
        <v/>
      </c>
      <c r="I209" s="61" t="str">
        <f t="shared" si="18"/>
        <v/>
      </c>
      <c r="J209" s="62" t="str">
        <f t="shared" si="19"/>
        <v/>
      </c>
      <c r="K209" s="6"/>
      <c r="L209" s="45"/>
      <c r="U209" s="179" t="str" cm="1">
        <f t="array" ref="U209">IF(C209="",INDEX(C203:C209,MATCH(TRUE,INDEX((C203:C209&lt;&gt;""),0),0)),C209)</f>
        <v>BOS Champagne</v>
      </c>
      <c r="V209" s="180">
        <f t="shared" si="20"/>
        <v>0.92860482513559006</v>
      </c>
      <c r="W209" s="180">
        <v>20000</v>
      </c>
      <c r="X209" s="180"/>
      <c r="Y209" s="180">
        <f t="shared" si="21"/>
        <v>19861</v>
      </c>
      <c r="Z209" s="181"/>
    </row>
    <row r="210" spans="2:26" ht="25" customHeight="1" outlineLevel="1" x14ac:dyDescent="0.35">
      <c r="B210" s="122"/>
      <c r="C210" s="122"/>
      <c r="D210" s="122"/>
      <c r="E210" s="6" t="s">
        <v>113</v>
      </c>
      <c r="F210" s="32" t="s">
        <v>21</v>
      </c>
      <c r="G210" s="37"/>
      <c r="H210" s="61" t="str">
        <f t="shared" si="17"/>
        <v/>
      </c>
      <c r="I210" s="61" t="str">
        <f t="shared" si="18"/>
        <v/>
      </c>
      <c r="J210" s="62" t="str">
        <f t="shared" si="19"/>
        <v/>
      </c>
      <c r="K210" s="6"/>
      <c r="L210" s="45"/>
      <c r="U210" s="179" t="str" cm="1">
        <f t="array" ref="U210">IF(C210="",INDEX(C204:C210,MATCH(TRUE,INDEX((C204:C210&lt;&gt;""),0),0)),C210)</f>
        <v>BOS Champagne</v>
      </c>
      <c r="V210" s="180">
        <f t="shared" si="20"/>
        <v>0.92860482513559006</v>
      </c>
      <c r="W210" s="180">
        <v>20000</v>
      </c>
      <c r="X210" s="180"/>
      <c r="Y210" s="180">
        <f t="shared" si="21"/>
        <v>19861</v>
      </c>
      <c r="Z210" s="181"/>
    </row>
    <row r="211" spans="2:26" ht="25" customHeight="1" outlineLevel="1" x14ac:dyDescent="0.35">
      <c r="B211" s="122"/>
      <c r="C211" s="122"/>
      <c r="D211" s="122"/>
      <c r="E211" s="6" t="s">
        <v>110</v>
      </c>
      <c r="F211" s="32" t="s">
        <v>21</v>
      </c>
      <c r="G211" s="37"/>
      <c r="H211" s="61" t="str">
        <f t="shared" si="17"/>
        <v/>
      </c>
      <c r="I211" s="61" t="str">
        <f t="shared" si="18"/>
        <v/>
      </c>
      <c r="J211" s="62" t="str">
        <f t="shared" si="19"/>
        <v/>
      </c>
      <c r="K211" s="6"/>
      <c r="L211" s="45"/>
      <c r="U211" s="179" t="str" cm="1">
        <f t="array" ref="U211">IF(C211="",INDEX(C205:C211,MATCH(TRUE,INDEX((C205:C211&lt;&gt;""),0),0)),C211)</f>
        <v>BOS Champagne</v>
      </c>
      <c r="V211" s="180">
        <f t="shared" si="20"/>
        <v>0.92860482513559006</v>
      </c>
      <c r="W211" s="180">
        <v>20000</v>
      </c>
      <c r="X211" s="180"/>
      <c r="Y211" s="180">
        <f t="shared" si="21"/>
        <v>19861</v>
      </c>
      <c r="Z211" s="181"/>
    </row>
    <row r="212" spans="2:26" ht="25" customHeight="1" outlineLevel="1" x14ac:dyDescent="0.35">
      <c r="B212" s="123"/>
      <c r="C212" s="123"/>
      <c r="D212" s="123"/>
      <c r="E212" s="7" t="s">
        <v>14</v>
      </c>
      <c r="F212" s="32" t="s">
        <v>109</v>
      </c>
      <c r="G212" s="37"/>
      <c r="H212" s="61" t="str">
        <f t="shared" si="17"/>
        <v/>
      </c>
      <c r="I212" s="61" t="str">
        <f t="shared" si="18"/>
        <v/>
      </c>
      <c r="J212" s="62" t="str">
        <f t="shared" si="19"/>
        <v/>
      </c>
      <c r="K212" s="6"/>
      <c r="L212" s="46"/>
      <c r="U212" s="179" t="str" cm="1">
        <f t="array" ref="U212">IF(C212="",INDEX(C206:C212,MATCH(TRUE,INDEX((C206:C212&lt;&gt;""),0),0)),C212)</f>
        <v>BOS Champagne</v>
      </c>
      <c r="V212" s="180">
        <f t="shared" si="20"/>
        <v>0.92860482513559006</v>
      </c>
      <c r="W212" s="180">
        <v>20000</v>
      </c>
      <c r="X212" s="180"/>
      <c r="Y212" s="180">
        <f t="shared" si="21"/>
        <v>19861</v>
      </c>
      <c r="Z212" s="181"/>
    </row>
    <row r="213" spans="2:26" ht="30" customHeight="1" x14ac:dyDescent="0.35">
      <c r="B213" s="124">
        <v>37</v>
      </c>
      <c r="C213" s="124" t="s">
        <v>61</v>
      </c>
      <c r="D213" s="124" t="s">
        <v>62</v>
      </c>
      <c r="E213" s="26" t="s">
        <v>106</v>
      </c>
      <c r="F213" s="31"/>
      <c r="G213" s="34"/>
      <c r="H213" s="55" t="str">
        <f t="shared" si="17"/>
        <v/>
      </c>
      <c r="I213" s="55" t="str">
        <f t="shared" si="18"/>
        <v/>
      </c>
      <c r="J213" s="56" t="str">
        <f t="shared" si="19"/>
        <v/>
      </c>
      <c r="K213" s="2"/>
      <c r="L213" s="41"/>
      <c r="U213" s="179" t="str" cm="1">
        <f t="array" ref="U213">IF(C213="",INDEX(C207:C213,MATCH(TRUE,INDEX((C207:C213&lt;&gt;""),0),0)),C213)</f>
        <v>BOS Hestia</v>
      </c>
      <c r="V213" s="180">
        <f t="shared" si="20"/>
        <v>0.73573966710304839</v>
      </c>
      <c r="W213" s="180">
        <v>18000</v>
      </c>
      <c r="X213" s="180"/>
      <c r="Y213" s="180">
        <f t="shared" si="21"/>
        <v>15736</v>
      </c>
      <c r="Z213" s="181"/>
    </row>
    <row r="214" spans="2:26" ht="25" customHeight="1" outlineLevel="1" x14ac:dyDescent="0.35">
      <c r="B214" s="125"/>
      <c r="C214" s="125"/>
      <c r="D214" s="125"/>
      <c r="E214" s="3" t="s">
        <v>13</v>
      </c>
      <c r="F214" s="31"/>
      <c r="G214" s="35"/>
      <c r="H214" s="57" t="str">
        <f t="shared" si="17"/>
        <v/>
      </c>
      <c r="I214" s="57" t="str">
        <f t="shared" si="18"/>
        <v/>
      </c>
      <c r="J214" s="58" t="str">
        <f t="shared" si="19"/>
        <v/>
      </c>
      <c r="K214" s="3"/>
      <c r="L214" s="42"/>
      <c r="U214" s="179" t="str" cm="1">
        <f t="array" ref="U214">IF(C214="",INDEX(C208:C214,MATCH(TRUE,INDEX((C208:C214&lt;&gt;""),0),0)),C214)</f>
        <v>BOS Hestia</v>
      </c>
      <c r="V214" s="180">
        <f t="shared" si="20"/>
        <v>0.73573966710304839</v>
      </c>
      <c r="W214" s="180">
        <v>18000</v>
      </c>
      <c r="X214" s="180"/>
      <c r="Y214" s="180">
        <f t="shared" si="21"/>
        <v>15736</v>
      </c>
      <c r="Z214" s="181"/>
    </row>
    <row r="215" spans="2:26" ht="25" customHeight="1" outlineLevel="1" x14ac:dyDescent="0.35">
      <c r="B215" s="125"/>
      <c r="C215" s="125"/>
      <c r="D215" s="125"/>
      <c r="E215" s="3" t="s">
        <v>114</v>
      </c>
      <c r="F215" s="31"/>
      <c r="G215" s="35"/>
      <c r="H215" s="57" t="str">
        <f t="shared" si="17"/>
        <v/>
      </c>
      <c r="I215" s="57" t="str">
        <f t="shared" si="18"/>
        <v/>
      </c>
      <c r="J215" s="58" t="str">
        <f t="shared" si="19"/>
        <v/>
      </c>
      <c r="K215" s="3"/>
      <c r="L215" s="42"/>
      <c r="U215" s="179" t="str" cm="1">
        <f t="array" ref="U215">IF(C215="",INDEX(C209:C215,MATCH(TRUE,INDEX((C209:C215&lt;&gt;""),0),0)),C215)</f>
        <v>BOS Hestia</v>
      </c>
      <c r="V215" s="180">
        <f t="shared" si="20"/>
        <v>0.73573966710304839</v>
      </c>
      <c r="W215" s="180">
        <v>18000</v>
      </c>
      <c r="X215" s="180"/>
      <c r="Y215" s="180">
        <f t="shared" si="21"/>
        <v>15736</v>
      </c>
      <c r="Z215" s="181"/>
    </row>
    <row r="216" spans="2:26" ht="25" customHeight="1" outlineLevel="1" x14ac:dyDescent="0.35">
      <c r="B216" s="125"/>
      <c r="C216" s="125"/>
      <c r="D216" s="125"/>
      <c r="E216" s="3" t="s">
        <v>113</v>
      </c>
      <c r="F216" s="31"/>
      <c r="G216" s="35"/>
      <c r="H216" s="57" t="str">
        <f t="shared" si="17"/>
        <v/>
      </c>
      <c r="I216" s="57" t="str">
        <f t="shared" si="18"/>
        <v/>
      </c>
      <c r="J216" s="58" t="str">
        <f t="shared" si="19"/>
        <v/>
      </c>
      <c r="K216" s="3"/>
      <c r="L216" s="42"/>
      <c r="U216" s="179" t="str" cm="1">
        <f t="array" ref="U216">IF(C216="",INDEX(C210:C216,MATCH(TRUE,INDEX((C210:C216&lt;&gt;""),0),0)),C216)</f>
        <v>BOS Hestia</v>
      </c>
      <c r="V216" s="180">
        <f t="shared" si="20"/>
        <v>0.73573966710304839</v>
      </c>
      <c r="W216" s="180">
        <v>18000</v>
      </c>
      <c r="X216" s="180"/>
      <c r="Y216" s="180">
        <f t="shared" si="21"/>
        <v>15736</v>
      </c>
      <c r="Z216" s="181"/>
    </row>
    <row r="217" spans="2:26" ht="25" customHeight="1" outlineLevel="1" x14ac:dyDescent="0.35">
      <c r="B217" s="125"/>
      <c r="C217" s="125"/>
      <c r="D217" s="125"/>
      <c r="E217" s="3" t="s">
        <v>110</v>
      </c>
      <c r="F217" s="31"/>
      <c r="G217" s="35"/>
      <c r="H217" s="57" t="str">
        <f t="shared" ref="H217:H281" si="22">IF(F217="Done", V217*VLOOKUP(E217, $AB$3:$AC$11, 2, FALSE), "")</f>
        <v/>
      </c>
      <c r="I217" s="57" t="str">
        <f t="shared" ref="I217:I281" si="23">IF(F217="Done", V217*VLOOKUP(E217, $AB$3:$AD$11, 3, FALSE), "")</f>
        <v/>
      </c>
      <c r="J217" s="58" t="str">
        <f t="shared" ref="J217:J281" si="24">IF(F217="Done", V217*VLOOKUP(E217, $AB$3:$AE$11, 4, FALSE), "")</f>
        <v/>
      </c>
      <c r="K217" s="3"/>
      <c r="L217" s="42"/>
      <c r="U217" s="179" t="str" cm="1">
        <f t="array" ref="U217">IF(C217="",INDEX(C211:C217,MATCH(TRUE,INDEX((C211:C217&lt;&gt;""),0),0)),C217)</f>
        <v>BOS Hestia</v>
      </c>
      <c r="V217" s="180">
        <f t="shared" si="20"/>
        <v>0.73573966710304839</v>
      </c>
      <c r="W217" s="180">
        <v>18000</v>
      </c>
      <c r="X217" s="180"/>
      <c r="Y217" s="180">
        <f t="shared" si="21"/>
        <v>15736</v>
      </c>
      <c r="Z217" s="181"/>
    </row>
    <row r="218" spans="2:26" ht="25" customHeight="1" outlineLevel="1" x14ac:dyDescent="0.35">
      <c r="B218" s="126"/>
      <c r="C218" s="126"/>
      <c r="D218" s="126"/>
      <c r="E218" s="4" t="s">
        <v>14</v>
      </c>
      <c r="F218" s="31" t="s">
        <v>21</v>
      </c>
      <c r="G218" s="39"/>
      <c r="H218" s="65" t="str">
        <f t="shared" si="22"/>
        <v/>
      </c>
      <c r="I218" s="65" t="str">
        <f t="shared" si="23"/>
        <v/>
      </c>
      <c r="J218" s="66" t="str">
        <f t="shared" si="24"/>
        <v/>
      </c>
      <c r="K218" s="4"/>
      <c r="L218" s="43"/>
      <c r="U218" s="179" t="str" cm="1">
        <f t="array" ref="U218">IF(C218="",INDEX(C212:C218,MATCH(TRUE,INDEX((C212:C218&lt;&gt;""),0),0)),C218)</f>
        <v>BOS Hestia</v>
      </c>
      <c r="V218" s="180">
        <f t="shared" si="20"/>
        <v>0.73573966710304839</v>
      </c>
      <c r="W218" s="180">
        <v>18000</v>
      </c>
      <c r="X218" s="180"/>
      <c r="Y218" s="180">
        <f t="shared" si="21"/>
        <v>15736</v>
      </c>
      <c r="Z218" s="181"/>
    </row>
    <row r="219" spans="2:26" ht="30" customHeight="1" x14ac:dyDescent="0.35">
      <c r="B219" s="121">
        <v>38</v>
      </c>
      <c r="C219" s="121" t="s">
        <v>63</v>
      </c>
      <c r="D219" s="121" t="s">
        <v>64</v>
      </c>
      <c r="E219" s="27" t="s">
        <v>106</v>
      </c>
      <c r="F219" s="32"/>
      <c r="G219" s="37"/>
      <c r="H219" s="61" t="str">
        <f t="shared" si="22"/>
        <v/>
      </c>
      <c r="I219" s="61" t="str">
        <f t="shared" si="23"/>
        <v/>
      </c>
      <c r="J219" s="62" t="str">
        <f t="shared" si="24"/>
        <v/>
      </c>
      <c r="K219" s="6"/>
      <c r="L219" s="44"/>
      <c r="U219" s="179" t="str" cm="1">
        <f t="array" ref="U219">IF(C219="",INDEX(C213:C219,MATCH(TRUE,INDEX((C213:C219&lt;&gt;""),0),0)),C219)</f>
        <v>BOS Tethys</v>
      </c>
      <c r="V219" s="180">
        <f t="shared" si="20"/>
        <v>0.73573966710304839</v>
      </c>
      <c r="W219" s="180">
        <v>18000</v>
      </c>
      <c r="X219" s="180"/>
      <c r="Y219" s="180">
        <f t="shared" si="21"/>
        <v>15736</v>
      </c>
      <c r="Z219" s="181"/>
    </row>
    <row r="220" spans="2:26" ht="25" customHeight="1" outlineLevel="1" x14ac:dyDescent="0.35">
      <c r="B220" s="122"/>
      <c r="C220" s="122"/>
      <c r="D220" s="122"/>
      <c r="E220" s="6" t="s">
        <v>13</v>
      </c>
      <c r="F220" s="32"/>
      <c r="G220" s="37"/>
      <c r="H220" s="61" t="str">
        <f t="shared" si="22"/>
        <v/>
      </c>
      <c r="I220" s="61" t="str">
        <f t="shared" si="23"/>
        <v/>
      </c>
      <c r="J220" s="62" t="str">
        <f t="shared" si="24"/>
        <v/>
      </c>
      <c r="K220" s="6"/>
      <c r="L220" s="45"/>
      <c r="U220" s="179" t="str" cm="1">
        <f t="array" ref="U220">IF(C220="",INDEX(C214:C220,MATCH(TRUE,INDEX((C214:C220&lt;&gt;""),0),0)),C220)</f>
        <v>BOS Tethys</v>
      </c>
      <c r="V220" s="180">
        <f t="shared" si="20"/>
        <v>0.73573966710304839</v>
      </c>
      <c r="W220" s="180">
        <v>18000</v>
      </c>
      <c r="X220" s="180"/>
      <c r="Y220" s="180">
        <f t="shared" si="21"/>
        <v>15736</v>
      </c>
      <c r="Z220" s="181"/>
    </row>
    <row r="221" spans="2:26" ht="25" customHeight="1" outlineLevel="1" x14ac:dyDescent="0.35">
      <c r="B221" s="122"/>
      <c r="C221" s="122"/>
      <c r="D221" s="122"/>
      <c r="E221" s="6" t="s">
        <v>114</v>
      </c>
      <c r="F221" s="32"/>
      <c r="G221" s="37"/>
      <c r="H221" s="61" t="str">
        <f t="shared" si="22"/>
        <v/>
      </c>
      <c r="I221" s="61" t="str">
        <f t="shared" si="23"/>
        <v/>
      </c>
      <c r="J221" s="62" t="str">
        <f t="shared" si="24"/>
        <v/>
      </c>
      <c r="K221" s="6"/>
      <c r="L221" s="45"/>
      <c r="U221" s="179" t="str" cm="1">
        <f t="array" ref="U221">IF(C221="",INDEX(C215:C221,MATCH(TRUE,INDEX((C215:C221&lt;&gt;""),0),0)),C221)</f>
        <v>BOS Tethys</v>
      </c>
      <c r="V221" s="180">
        <f t="shared" si="20"/>
        <v>0.73573966710304839</v>
      </c>
      <c r="W221" s="180">
        <v>18000</v>
      </c>
      <c r="X221" s="180"/>
      <c r="Y221" s="180">
        <f t="shared" si="21"/>
        <v>15736</v>
      </c>
      <c r="Z221" s="181"/>
    </row>
    <row r="222" spans="2:26" ht="25" customHeight="1" outlineLevel="1" x14ac:dyDescent="0.35">
      <c r="B222" s="122"/>
      <c r="C222" s="122"/>
      <c r="D222" s="122"/>
      <c r="E222" s="6" t="s">
        <v>113</v>
      </c>
      <c r="F222" s="32"/>
      <c r="G222" s="37"/>
      <c r="H222" s="61" t="str">
        <f t="shared" si="22"/>
        <v/>
      </c>
      <c r="I222" s="61" t="str">
        <f t="shared" si="23"/>
        <v/>
      </c>
      <c r="J222" s="62" t="str">
        <f t="shared" si="24"/>
        <v/>
      </c>
      <c r="K222" s="6"/>
      <c r="L222" s="45"/>
      <c r="U222" s="179" t="str" cm="1">
        <f t="array" ref="U222">IF(C222="",INDEX(C216:C222,MATCH(TRUE,INDEX((C216:C222&lt;&gt;""),0),0)),C222)</f>
        <v>BOS Tethys</v>
      </c>
      <c r="V222" s="180">
        <f t="shared" si="20"/>
        <v>0.73573966710304839</v>
      </c>
      <c r="W222" s="180">
        <v>18000</v>
      </c>
      <c r="X222" s="180"/>
      <c r="Y222" s="180">
        <f t="shared" si="21"/>
        <v>15736</v>
      </c>
      <c r="Z222" s="181"/>
    </row>
    <row r="223" spans="2:26" ht="25" customHeight="1" outlineLevel="1" x14ac:dyDescent="0.35">
      <c r="B223" s="122"/>
      <c r="C223" s="122"/>
      <c r="D223" s="122"/>
      <c r="E223" s="6" t="s">
        <v>110</v>
      </c>
      <c r="F223" s="32"/>
      <c r="G223" s="37"/>
      <c r="H223" s="61" t="str">
        <f t="shared" si="22"/>
        <v/>
      </c>
      <c r="I223" s="61" t="str">
        <f t="shared" si="23"/>
        <v/>
      </c>
      <c r="J223" s="62" t="str">
        <f t="shared" si="24"/>
        <v/>
      </c>
      <c r="K223" s="6"/>
      <c r="L223" s="45"/>
      <c r="U223" s="179" t="str" cm="1">
        <f t="array" ref="U223">IF(C223="",INDEX(C217:C223,MATCH(TRUE,INDEX((C217:C223&lt;&gt;""),0),0)),C223)</f>
        <v>BOS Tethys</v>
      </c>
      <c r="V223" s="180">
        <f t="shared" si="20"/>
        <v>0.73573966710304839</v>
      </c>
      <c r="W223" s="180">
        <v>18000</v>
      </c>
      <c r="X223" s="180"/>
      <c r="Y223" s="180">
        <f t="shared" si="21"/>
        <v>15736</v>
      </c>
      <c r="Z223" s="181"/>
    </row>
    <row r="224" spans="2:26" ht="25" customHeight="1" outlineLevel="1" x14ac:dyDescent="0.35">
      <c r="B224" s="123"/>
      <c r="C224" s="123"/>
      <c r="D224" s="123"/>
      <c r="E224" s="7" t="s">
        <v>14</v>
      </c>
      <c r="F224" s="32" t="s">
        <v>21</v>
      </c>
      <c r="G224" s="37"/>
      <c r="H224" s="61" t="str">
        <f t="shared" si="22"/>
        <v/>
      </c>
      <c r="I224" s="61" t="str">
        <f t="shared" si="23"/>
        <v/>
      </c>
      <c r="J224" s="62" t="str">
        <f t="shared" si="24"/>
        <v/>
      </c>
      <c r="K224" s="6"/>
      <c r="L224" s="46"/>
      <c r="U224" s="179" t="str" cm="1">
        <f t="array" ref="U224">IF(C224="",INDEX(C218:C224,MATCH(TRUE,INDEX((C218:C224&lt;&gt;""),0),0)),C224)</f>
        <v>BOS Tethys</v>
      </c>
      <c r="V224" s="180">
        <f t="shared" si="20"/>
        <v>0.73573966710304839</v>
      </c>
      <c r="W224" s="180">
        <v>18000</v>
      </c>
      <c r="X224" s="180"/>
      <c r="Y224" s="180">
        <f t="shared" si="21"/>
        <v>15736</v>
      </c>
      <c r="Z224" s="181"/>
    </row>
    <row r="225" spans="1:26" ht="30" customHeight="1" x14ac:dyDescent="0.35">
      <c r="A225" s="8" t="s">
        <v>140</v>
      </c>
      <c r="B225" s="124">
        <v>39</v>
      </c>
      <c r="C225" s="124" t="s">
        <v>65</v>
      </c>
      <c r="D225" s="124" t="s">
        <v>64</v>
      </c>
      <c r="E225" s="26" t="s">
        <v>106</v>
      </c>
      <c r="F225" s="31"/>
      <c r="G225" s="34"/>
      <c r="H225" s="55" t="str">
        <f t="shared" si="22"/>
        <v/>
      </c>
      <c r="I225" s="55" t="str">
        <f t="shared" si="23"/>
        <v/>
      </c>
      <c r="J225" s="56" t="str">
        <f t="shared" si="24"/>
        <v/>
      </c>
      <c r="K225" s="2"/>
      <c r="L225" s="41"/>
      <c r="U225" s="179" t="str" cm="1">
        <f t="array" ref="U225">IF(C225="",INDEX(C219:C225,MATCH(TRUE,INDEX((C219:C225&lt;&gt;""),0),0)),C225)</f>
        <v>BOS Thalassa</v>
      </c>
      <c r="V225" s="180">
        <f t="shared" si="20"/>
        <v>0.73573966710304839</v>
      </c>
      <c r="W225" s="180">
        <v>18000</v>
      </c>
      <c r="X225" s="180"/>
      <c r="Y225" s="180">
        <f t="shared" si="21"/>
        <v>15736</v>
      </c>
      <c r="Z225" s="181"/>
    </row>
    <row r="226" spans="1:26" ht="25" customHeight="1" outlineLevel="1" x14ac:dyDescent="0.35">
      <c r="B226" s="125"/>
      <c r="C226" s="125"/>
      <c r="D226" s="125"/>
      <c r="E226" s="3" t="s">
        <v>13</v>
      </c>
      <c r="F226" s="31" t="s">
        <v>17</v>
      </c>
      <c r="G226" s="35"/>
      <c r="H226" s="57">
        <f t="shared" si="22"/>
        <v>8828.8760052365815</v>
      </c>
      <c r="I226" s="57">
        <f t="shared" si="23"/>
        <v>2354.366934729755</v>
      </c>
      <c r="J226" s="58">
        <f t="shared" si="24"/>
        <v>47.087338694595097</v>
      </c>
      <c r="K226" s="3"/>
      <c r="L226" s="42"/>
      <c r="U226" s="179" t="str" cm="1">
        <f t="array" ref="U226">IF(C226="",INDEX(C220:C226,MATCH(TRUE,INDEX((C220:C226&lt;&gt;""),0),0)),C226)</f>
        <v>BOS Thalassa</v>
      </c>
      <c r="V226" s="180">
        <f t="shared" si="20"/>
        <v>0.73573966710304839</v>
      </c>
      <c r="W226" s="180">
        <v>18000</v>
      </c>
      <c r="X226" s="180"/>
      <c r="Y226" s="180">
        <f t="shared" si="21"/>
        <v>15736</v>
      </c>
      <c r="Z226" s="181"/>
    </row>
    <row r="227" spans="1:26" ht="25" customHeight="1" outlineLevel="1" x14ac:dyDescent="0.35">
      <c r="B227" s="125"/>
      <c r="C227" s="125"/>
      <c r="D227" s="125"/>
      <c r="E227" s="3" t="s">
        <v>114</v>
      </c>
      <c r="F227" s="31" t="s">
        <v>21</v>
      </c>
      <c r="G227" s="35"/>
      <c r="H227" s="57" t="str">
        <f t="shared" si="22"/>
        <v/>
      </c>
      <c r="I227" s="57" t="str">
        <f t="shared" si="23"/>
        <v/>
      </c>
      <c r="J227" s="58" t="str">
        <f t="shared" si="24"/>
        <v/>
      </c>
      <c r="K227" s="3"/>
      <c r="L227" s="42"/>
      <c r="U227" s="179" t="str" cm="1">
        <f t="array" ref="U227">IF(C227="",INDEX(C221:C227,MATCH(TRUE,INDEX((C221:C227&lt;&gt;""),0),0)),C227)</f>
        <v>BOS Thalassa</v>
      </c>
      <c r="V227" s="180">
        <f t="shared" si="20"/>
        <v>0.73573966710304839</v>
      </c>
      <c r="W227" s="180">
        <v>18000</v>
      </c>
      <c r="X227" s="180"/>
      <c r="Y227" s="180">
        <f t="shared" si="21"/>
        <v>15736</v>
      </c>
      <c r="Z227" s="181"/>
    </row>
    <row r="228" spans="1:26" ht="25" customHeight="1" outlineLevel="1" x14ac:dyDescent="0.35">
      <c r="B228" s="125"/>
      <c r="C228" s="125"/>
      <c r="D228" s="125"/>
      <c r="E228" s="3" t="s">
        <v>113</v>
      </c>
      <c r="F228" s="31" t="s">
        <v>21</v>
      </c>
      <c r="G228" s="35"/>
      <c r="H228" s="57" t="str">
        <f t="shared" si="22"/>
        <v/>
      </c>
      <c r="I228" s="57" t="str">
        <f t="shared" si="23"/>
        <v/>
      </c>
      <c r="J228" s="58" t="str">
        <f t="shared" si="24"/>
        <v/>
      </c>
      <c r="K228" s="3"/>
      <c r="L228" s="42" t="s">
        <v>142</v>
      </c>
      <c r="U228" s="179" t="str" cm="1">
        <f t="array" ref="U228">IF(C228="",INDEX(C222:C228,MATCH(TRUE,INDEX((C222:C228&lt;&gt;""),0),0)),C228)</f>
        <v>BOS Thalassa</v>
      </c>
      <c r="V228" s="180">
        <f t="shared" si="20"/>
        <v>0.73573966710304839</v>
      </c>
      <c r="W228" s="180">
        <v>18000</v>
      </c>
      <c r="X228" s="180"/>
      <c r="Y228" s="180">
        <f t="shared" si="21"/>
        <v>15736</v>
      </c>
      <c r="Z228" s="181"/>
    </row>
    <row r="229" spans="1:26" ht="25" customHeight="1" outlineLevel="1" x14ac:dyDescent="0.35">
      <c r="B229" s="125"/>
      <c r="C229" s="125"/>
      <c r="D229" s="125"/>
      <c r="E229" s="3" t="s">
        <v>110</v>
      </c>
      <c r="F229" s="31" t="s">
        <v>17</v>
      </c>
      <c r="G229" s="35"/>
      <c r="H229" s="57">
        <f t="shared" si="22"/>
        <v>6106.6392369553014</v>
      </c>
      <c r="I229" s="57">
        <f t="shared" si="23"/>
        <v>735.73966710304842</v>
      </c>
      <c r="J229" s="58">
        <f t="shared" si="24"/>
        <v>33.108285019637179</v>
      </c>
      <c r="K229" s="3"/>
      <c r="L229" s="42"/>
      <c r="U229" s="179" t="str" cm="1">
        <f t="array" ref="U229">IF(C229="",INDEX(C223:C229,MATCH(TRUE,INDEX((C223:C229&lt;&gt;""),0),0)),C229)</f>
        <v>BOS Thalassa</v>
      </c>
      <c r="V229" s="180">
        <f t="shared" si="20"/>
        <v>0.73573966710304839</v>
      </c>
      <c r="W229" s="180">
        <v>18000</v>
      </c>
      <c r="X229" s="180"/>
      <c r="Y229" s="180">
        <f t="shared" si="21"/>
        <v>15736</v>
      </c>
      <c r="Z229" s="181"/>
    </row>
    <row r="230" spans="1:26" ht="25" customHeight="1" outlineLevel="1" x14ac:dyDescent="0.35">
      <c r="B230" s="126"/>
      <c r="C230" s="126"/>
      <c r="D230" s="126"/>
      <c r="E230" s="4" t="s">
        <v>14</v>
      </c>
      <c r="F230" s="31" t="s">
        <v>21</v>
      </c>
      <c r="G230" s="39"/>
      <c r="H230" s="65" t="str">
        <f t="shared" si="22"/>
        <v/>
      </c>
      <c r="I230" s="65" t="str">
        <f t="shared" si="23"/>
        <v/>
      </c>
      <c r="J230" s="66" t="str">
        <f t="shared" si="24"/>
        <v/>
      </c>
      <c r="K230" s="4"/>
      <c r="L230" s="43"/>
      <c r="U230" s="179" t="str" cm="1">
        <f t="array" ref="U230">IF(C230="",INDEX(C224:C230,MATCH(TRUE,INDEX((C224:C230&lt;&gt;""),0),0)),C230)</f>
        <v>BOS Thalassa</v>
      </c>
      <c r="V230" s="180">
        <f t="shared" si="20"/>
        <v>0.73573966710304839</v>
      </c>
      <c r="W230" s="180">
        <v>18000</v>
      </c>
      <c r="X230" s="180"/>
      <c r="Y230" s="180">
        <f t="shared" si="21"/>
        <v>15736</v>
      </c>
      <c r="Z230" s="181"/>
    </row>
    <row r="231" spans="1:26" ht="30" customHeight="1" x14ac:dyDescent="0.35">
      <c r="A231" s="8" t="s">
        <v>140</v>
      </c>
      <c r="B231" s="121">
        <v>40</v>
      </c>
      <c r="C231" s="121" t="s">
        <v>66</v>
      </c>
      <c r="D231" s="121" t="s">
        <v>143</v>
      </c>
      <c r="E231" s="27" t="s">
        <v>106</v>
      </c>
      <c r="F231" s="32"/>
      <c r="G231" s="37"/>
      <c r="H231" s="61" t="str">
        <f t="shared" si="22"/>
        <v/>
      </c>
      <c r="I231" s="61" t="str">
        <f t="shared" si="23"/>
        <v/>
      </c>
      <c r="J231" s="62" t="str">
        <f t="shared" si="24"/>
        <v/>
      </c>
      <c r="K231" s="6"/>
      <c r="L231" s="44"/>
      <c r="U231" s="179" t="str" cm="1">
        <f t="array" ref="U231">IF(C231="",INDEX(C225:C231,MATCH(TRUE,INDEX((C225:C231&lt;&gt;""),0),0)),C231)</f>
        <v>BOS Theia</v>
      </c>
      <c r="V231" s="180">
        <f t="shared" si="20"/>
        <v>0.73573966710304839</v>
      </c>
      <c r="W231" s="180">
        <v>18000</v>
      </c>
      <c r="X231" s="180"/>
      <c r="Y231" s="180">
        <f t="shared" si="21"/>
        <v>15736</v>
      </c>
      <c r="Z231" s="181"/>
    </row>
    <row r="232" spans="1:26" ht="25" customHeight="1" outlineLevel="1" x14ac:dyDescent="0.35">
      <c r="B232" s="122"/>
      <c r="C232" s="122"/>
      <c r="D232" s="122"/>
      <c r="E232" s="6" t="s">
        <v>13</v>
      </c>
      <c r="F232" s="32" t="s">
        <v>21</v>
      </c>
      <c r="G232" s="37"/>
      <c r="H232" s="61" t="str">
        <f t="shared" si="22"/>
        <v/>
      </c>
      <c r="I232" s="61" t="str">
        <f t="shared" si="23"/>
        <v/>
      </c>
      <c r="J232" s="62" t="str">
        <f t="shared" si="24"/>
        <v/>
      </c>
      <c r="K232" s="6"/>
      <c r="L232" s="45"/>
      <c r="U232" s="179" t="str" cm="1">
        <f t="array" ref="U232">IF(C232="",INDEX(C226:C232,MATCH(TRUE,INDEX((C226:C232&lt;&gt;""),0),0)),C232)</f>
        <v>BOS Theia</v>
      </c>
      <c r="V232" s="180">
        <f t="shared" si="20"/>
        <v>0.73573966710304839</v>
      </c>
      <c r="W232" s="180">
        <v>18000</v>
      </c>
      <c r="X232" s="180"/>
      <c r="Y232" s="180">
        <f t="shared" si="21"/>
        <v>15736</v>
      </c>
      <c r="Z232" s="181"/>
    </row>
    <row r="233" spans="1:26" ht="25" customHeight="1" outlineLevel="1" x14ac:dyDescent="0.35">
      <c r="B233" s="122"/>
      <c r="C233" s="122"/>
      <c r="D233" s="122"/>
      <c r="E233" s="6" t="s">
        <v>114</v>
      </c>
      <c r="F233" s="32" t="s">
        <v>21</v>
      </c>
      <c r="G233" s="37"/>
      <c r="H233" s="61" t="str">
        <f t="shared" si="22"/>
        <v/>
      </c>
      <c r="I233" s="61" t="str">
        <f t="shared" si="23"/>
        <v/>
      </c>
      <c r="J233" s="62" t="str">
        <f t="shared" si="24"/>
        <v/>
      </c>
      <c r="K233" s="6"/>
      <c r="L233" s="45"/>
      <c r="U233" s="179" t="str" cm="1">
        <f t="array" ref="U233">IF(C233="",INDEX(C227:C233,MATCH(TRUE,INDEX((C227:C233&lt;&gt;""),0),0)),C233)</f>
        <v>BOS Theia</v>
      </c>
      <c r="V233" s="180">
        <f t="shared" si="20"/>
        <v>0.73573966710304839</v>
      </c>
      <c r="W233" s="180">
        <v>18000</v>
      </c>
      <c r="X233" s="180"/>
      <c r="Y233" s="180">
        <f t="shared" si="21"/>
        <v>15736</v>
      </c>
      <c r="Z233" s="181"/>
    </row>
    <row r="234" spans="1:26" ht="25" customHeight="1" outlineLevel="1" x14ac:dyDescent="0.35">
      <c r="B234" s="122"/>
      <c r="C234" s="122"/>
      <c r="D234" s="122"/>
      <c r="E234" s="6" t="s">
        <v>113</v>
      </c>
      <c r="F234" s="32" t="s">
        <v>21</v>
      </c>
      <c r="G234" s="37"/>
      <c r="H234" s="61" t="str">
        <f t="shared" si="22"/>
        <v/>
      </c>
      <c r="I234" s="61" t="str">
        <f t="shared" si="23"/>
        <v/>
      </c>
      <c r="J234" s="62" t="str">
        <f t="shared" si="24"/>
        <v/>
      </c>
      <c r="K234" s="6"/>
      <c r="L234" s="45" t="s">
        <v>142</v>
      </c>
      <c r="U234" s="179" t="str" cm="1">
        <f t="array" ref="U234">IF(C234="",INDEX(C228:C234,MATCH(TRUE,INDEX((C228:C234&lt;&gt;""),0),0)),C234)</f>
        <v>BOS Theia</v>
      </c>
      <c r="V234" s="180">
        <f t="shared" si="20"/>
        <v>0.73573966710304839</v>
      </c>
      <c r="W234" s="180">
        <v>18000</v>
      </c>
      <c r="X234" s="180"/>
      <c r="Y234" s="180">
        <f t="shared" si="21"/>
        <v>15736</v>
      </c>
      <c r="Z234" s="181"/>
    </row>
    <row r="235" spans="1:26" ht="25" customHeight="1" outlineLevel="1" x14ac:dyDescent="0.35">
      <c r="B235" s="122"/>
      <c r="C235" s="122"/>
      <c r="D235" s="122"/>
      <c r="E235" s="6" t="s">
        <v>110</v>
      </c>
      <c r="F235" s="32" t="s">
        <v>21</v>
      </c>
      <c r="G235" s="37"/>
      <c r="H235" s="61" t="str">
        <f t="shared" si="22"/>
        <v/>
      </c>
      <c r="I235" s="61" t="str">
        <f t="shared" si="23"/>
        <v/>
      </c>
      <c r="J235" s="62" t="str">
        <f t="shared" si="24"/>
        <v/>
      </c>
      <c r="K235" s="6"/>
      <c r="L235" s="45"/>
      <c r="U235" s="179" t="str" cm="1">
        <f t="array" ref="U235">IF(C235="",INDEX(C229:C235,MATCH(TRUE,INDEX((C229:C235&lt;&gt;""),0),0)),C235)</f>
        <v>BOS Theia</v>
      </c>
      <c r="V235" s="180">
        <f t="shared" si="20"/>
        <v>0.73573966710304839</v>
      </c>
      <c r="W235" s="180">
        <v>18000</v>
      </c>
      <c r="X235" s="180"/>
      <c r="Y235" s="180">
        <f t="shared" si="21"/>
        <v>15736</v>
      </c>
      <c r="Z235" s="181"/>
    </row>
    <row r="236" spans="1:26" ht="25" customHeight="1" outlineLevel="1" x14ac:dyDescent="0.35">
      <c r="B236" s="123"/>
      <c r="C236" s="123"/>
      <c r="D236" s="123"/>
      <c r="E236" s="7" t="s">
        <v>14</v>
      </c>
      <c r="F236" s="32" t="s">
        <v>21</v>
      </c>
      <c r="G236" s="37"/>
      <c r="H236" s="61" t="str">
        <f t="shared" si="22"/>
        <v/>
      </c>
      <c r="I236" s="61" t="str">
        <f t="shared" si="23"/>
        <v/>
      </c>
      <c r="J236" s="62" t="str">
        <f t="shared" si="24"/>
        <v/>
      </c>
      <c r="K236" s="6"/>
      <c r="L236" s="46"/>
      <c r="U236" s="179" t="str" cm="1">
        <f t="array" ref="U236">IF(C236="",INDEX(C230:C236,MATCH(TRUE,INDEX((C230:C236&lt;&gt;""),0),0)),C236)</f>
        <v>BOS Theia</v>
      </c>
      <c r="V236" s="180">
        <f t="shared" si="20"/>
        <v>0.73573966710304839</v>
      </c>
      <c r="W236" s="180">
        <v>18000</v>
      </c>
      <c r="X236" s="180"/>
      <c r="Y236" s="180">
        <f t="shared" si="21"/>
        <v>15736</v>
      </c>
      <c r="Z236" s="181"/>
    </row>
    <row r="237" spans="1:26" ht="30" customHeight="1" x14ac:dyDescent="0.35">
      <c r="A237" s="8" t="s">
        <v>140</v>
      </c>
      <c r="B237" s="124">
        <v>41</v>
      </c>
      <c r="C237" s="124" t="s">
        <v>67</v>
      </c>
      <c r="D237" s="124" t="s">
        <v>64</v>
      </c>
      <c r="E237" s="26" t="s">
        <v>106</v>
      </c>
      <c r="F237" s="31"/>
      <c r="G237" s="34"/>
      <c r="H237" s="55" t="str">
        <f t="shared" si="22"/>
        <v/>
      </c>
      <c r="I237" s="55" t="str">
        <f t="shared" si="23"/>
        <v/>
      </c>
      <c r="J237" s="56" t="str">
        <f t="shared" si="24"/>
        <v/>
      </c>
      <c r="K237" s="2"/>
      <c r="L237" s="41"/>
      <c r="U237" s="179" t="str" cm="1">
        <f t="array" ref="U237">IF(C237="",INDEX(C231:C237,MATCH(TRUE,INDEX((C231:C237&lt;&gt;""),0),0)),C237)</f>
        <v>BOS Triton</v>
      </c>
      <c r="V237" s="180">
        <f t="shared" si="20"/>
        <v>0.73573966710304839</v>
      </c>
      <c r="W237" s="180">
        <v>18000</v>
      </c>
      <c r="X237" s="180"/>
      <c r="Y237" s="180">
        <f t="shared" si="21"/>
        <v>15736</v>
      </c>
      <c r="Z237" s="181"/>
    </row>
    <row r="238" spans="1:26" ht="25" customHeight="1" outlineLevel="1" x14ac:dyDescent="0.35">
      <c r="B238" s="125"/>
      <c r="C238" s="125"/>
      <c r="D238" s="125"/>
      <c r="E238" s="3" t="s">
        <v>13</v>
      </c>
      <c r="F238" s="31" t="s">
        <v>21</v>
      </c>
      <c r="G238" s="35"/>
      <c r="H238" s="57" t="str">
        <f t="shared" si="22"/>
        <v/>
      </c>
      <c r="I238" s="57" t="str">
        <f t="shared" si="23"/>
        <v/>
      </c>
      <c r="J238" s="58" t="str">
        <f t="shared" si="24"/>
        <v/>
      </c>
      <c r="K238" s="3"/>
      <c r="L238" s="42"/>
      <c r="U238" s="179" t="str" cm="1">
        <f t="array" ref="U238">IF(C238="",INDEX(C232:C238,MATCH(TRUE,INDEX((C232:C238&lt;&gt;""),0),0)),C238)</f>
        <v>BOS Triton</v>
      </c>
      <c r="V238" s="180">
        <f t="shared" si="20"/>
        <v>0.73573966710304839</v>
      </c>
      <c r="W238" s="180">
        <v>18000</v>
      </c>
      <c r="X238" s="180"/>
      <c r="Y238" s="180">
        <f t="shared" si="21"/>
        <v>15736</v>
      </c>
      <c r="Z238" s="181"/>
    </row>
    <row r="239" spans="1:26" ht="25" customHeight="1" outlineLevel="1" x14ac:dyDescent="0.35">
      <c r="B239" s="125"/>
      <c r="C239" s="125"/>
      <c r="D239" s="125"/>
      <c r="E239" s="3" t="s">
        <v>114</v>
      </c>
      <c r="F239" s="31" t="s">
        <v>21</v>
      </c>
      <c r="G239" s="35"/>
      <c r="H239" s="57" t="str">
        <f t="shared" si="22"/>
        <v/>
      </c>
      <c r="I239" s="57" t="str">
        <f t="shared" si="23"/>
        <v/>
      </c>
      <c r="J239" s="58" t="str">
        <f t="shared" si="24"/>
        <v/>
      </c>
      <c r="K239" s="3"/>
      <c r="L239" s="42"/>
      <c r="U239" s="179" t="str" cm="1">
        <f t="array" ref="U239">IF(C239="",INDEX(C233:C239,MATCH(TRUE,INDEX((C233:C239&lt;&gt;""),0),0)),C239)</f>
        <v>BOS Triton</v>
      </c>
      <c r="V239" s="180">
        <f t="shared" si="20"/>
        <v>0.73573966710304839</v>
      </c>
      <c r="W239" s="180">
        <v>18000</v>
      </c>
      <c r="X239" s="180"/>
      <c r="Y239" s="180">
        <f t="shared" si="21"/>
        <v>15736</v>
      </c>
      <c r="Z239" s="181"/>
    </row>
    <row r="240" spans="1:26" ht="25" customHeight="1" outlineLevel="1" x14ac:dyDescent="0.35">
      <c r="B240" s="125"/>
      <c r="C240" s="125"/>
      <c r="D240" s="125"/>
      <c r="E240" s="3" t="s">
        <v>113</v>
      </c>
      <c r="F240" s="31" t="s">
        <v>21</v>
      </c>
      <c r="G240" s="35"/>
      <c r="H240" s="57" t="str">
        <f t="shared" si="22"/>
        <v/>
      </c>
      <c r="I240" s="57" t="str">
        <f t="shared" si="23"/>
        <v/>
      </c>
      <c r="J240" s="58" t="str">
        <f t="shared" si="24"/>
        <v/>
      </c>
      <c r="K240" s="3"/>
      <c r="L240" s="42"/>
      <c r="U240" s="179" t="str" cm="1">
        <f t="array" ref="U240">IF(C240="",INDEX(C234:C240,MATCH(TRUE,INDEX((C234:C240&lt;&gt;""),0),0)),C240)</f>
        <v>BOS Triton</v>
      </c>
      <c r="V240" s="180">
        <f t="shared" si="20"/>
        <v>0.73573966710304839</v>
      </c>
      <c r="W240" s="180">
        <v>18000</v>
      </c>
      <c r="X240" s="180"/>
      <c r="Y240" s="180">
        <f t="shared" si="21"/>
        <v>15736</v>
      </c>
      <c r="Z240" s="181"/>
    </row>
    <row r="241" spans="1:26" ht="25" customHeight="1" outlineLevel="1" x14ac:dyDescent="0.35">
      <c r="B241" s="125"/>
      <c r="C241" s="125"/>
      <c r="D241" s="125"/>
      <c r="E241" s="3" t="s">
        <v>110</v>
      </c>
      <c r="F241" s="31" t="s">
        <v>21</v>
      </c>
      <c r="G241" s="35"/>
      <c r="H241" s="57" t="str">
        <f t="shared" si="22"/>
        <v/>
      </c>
      <c r="I241" s="57" t="str">
        <f t="shared" si="23"/>
        <v/>
      </c>
      <c r="J241" s="58" t="str">
        <f t="shared" si="24"/>
        <v/>
      </c>
      <c r="K241" s="3"/>
      <c r="L241" s="42"/>
      <c r="U241" s="179" t="str" cm="1">
        <f t="array" ref="U241">IF(C241="",INDEX(C235:C241,MATCH(TRUE,INDEX((C235:C241&lt;&gt;""),0),0)),C241)</f>
        <v>BOS Triton</v>
      </c>
      <c r="V241" s="180">
        <f t="shared" si="20"/>
        <v>0.73573966710304839</v>
      </c>
      <c r="W241" s="180">
        <v>18000</v>
      </c>
      <c r="X241" s="180"/>
      <c r="Y241" s="180">
        <f t="shared" si="21"/>
        <v>15736</v>
      </c>
      <c r="Z241" s="181"/>
    </row>
    <row r="242" spans="1:26" ht="25" customHeight="1" outlineLevel="1" x14ac:dyDescent="0.35">
      <c r="B242" s="126"/>
      <c r="C242" s="126"/>
      <c r="D242" s="126"/>
      <c r="E242" s="4" t="s">
        <v>14</v>
      </c>
      <c r="F242" s="31" t="s">
        <v>21</v>
      </c>
      <c r="G242" s="39"/>
      <c r="H242" s="65" t="str">
        <f t="shared" si="22"/>
        <v/>
      </c>
      <c r="I242" s="65" t="str">
        <f t="shared" si="23"/>
        <v/>
      </c>
      <c r="J242" s="66" t="str">
        <f t="shared" si="24"/>
        <v/>
      </c>
      <c r="K242" s="4"/>
      <c r="L242" s="43"/>
      <c r="U242" s="179" t="str" cm="1">
        <f t="array" ref="U242">IF(C242="",INDEX(C236:C242,MATCH(TRUE,INDEX((C236:C242&lt;&gt;""),0),0)),C242)</f>
        <v>BOS Triton</v>
      </c>
      <c r="V242" s="180">
        <f t="shared" si="20"/>
        <v>0.73573966710304839</v>
      </c>
      <c r="W242" s="180">
        <v>18000</v>
      </c>
      <c r="X242" s="180"/>
      <c r="Y242" s="180">
        <f t="shared" si="21"/>
        <v>15736</v>
      </c>
      <c r="Z242" s="181"/>
    </row>
    <row r="243" spans="1:26" ht="30" customHeight="1" x14ac:dyDescent="0.35">
      <c r="A243" s="8" t="s">
        <v>140</v>
      </c>
      <c r="B243" s="121">
        <v>42</v>
      </c>
      <c r="C243" s="121" t="s">
        <v>68</v>
      </c>
      <c r="D243" s="121" t="s">
        <v>69</v>
      </c>
      <c r="E243" s="27" t="s">
        <v>106</v>
      </c>
      <c r="F243" s="32"/>
      <c r="G243" s="37"/>
      <c r="H243" s="61" t="str">
        <f t="shared" si="22"/>
        <v/>
      </c>
      <c r="I243" s="61" t="str">
        <f t="shared" si="23"/>
        <v/>
      </c>
      <c r="J243" s="62" t="str">
        <f t="shared" si="24"/>
        <v/>
      </c>
      <c r="K243" s="6"/>
      <c r="L243" s="44"/>
      <c r="U243" s="179" t="str" cm="1">
        <f t="array" ref="U243">IF(C243="",INDEX(C237:C243,MATCH(TRUE,INDEX((C237:C243&lt;&gt;""),0),0)),C243)</f>
        <v>Britoil Journey</v>
      </c>
      <c r="V243" s="180">
        <f t="shared" si="20"/>
        <v>1</v>
      </c>
      <c r="W243" s="182">
        <v>20000</v>
      </c>
      <c r="X243" s="180"/>
      <c r="Y243" s="180">
        <f t="shared" si="21"/>
        <v>21388</v>
      </c>
      <c r="Z243" s="181"/>
    </row>
    <row r="244" spans="1:26" ht="25" customHeight="1" outlineLevel="1" x14ac:dyDescent="0.35">
      <c r="B244" s="122"/>
      <c r="C244" s="122"/>
      <c r="D244" s="122"/>
      <c r="E244" s="6" t="s">
        <v>13</v>
      </c>
      <c r="F244" s="32" t="s">
        <v>17</v>
      </c>
      <c r="G244" s="37"/>
      <c r="H244" s="61">
        <f t="shared" si="22"/>
        <v>12000</v>
      </c>
      <c r="I244" s="61">
        <f t="shared" si="23"/>
        <v>3200</v>
      </c>
      <c r="J244" s="62">
        <f t="shared" si="24"/>
        <v>64</v>
      </c>
      <c r="K244" s="6"/>
      <c r="L244" s="45"/>
      <c r="U244" s="179" t="str" cm="1">
        <f t="array" ref="U244">IF(C244="",INDEX(C238:C244,MATCH(TRUE,INDEX((C238:C244&lt;&gt;""),0),0)),C244)</f>
        <v>Britoil Journey</v>
      </c>
      <c r="V244" s="180">
        <f t="shared" si="20"/>
        <v>1</v>
      </c>
      <c r="W244" s="182">
        <v>20000</v>
      </c>
      <c r="X244" s="180"/>
      <c r="Y244" s="180">
        <f t="shared" si="21"/>
        <v>21388</v>
      </c>
      <c r="Z244" s="181"/>
    </row>
    <row r="245" spans="1:26" ht="25" customHeight="1" outlineLevel="1" x14ac:dyDescent="0.35">
      <c r="B245" s="122"/>
      <c r="C245" s="122"/>
      <c r="D245" s="122"/>
      <c r="E245" s="6" t="s">
        <v>107</v>
      </c>
      <c r="F245" s="32" t="s">
        <v>17</v>
      </c>
      <c r="G245" s="37">
        <v>45733</v>
      </c>
      <c r="H245" s="61">
        <f t="shared" si="22"/>
        <v>0</v>
      </c>
      <c r="I245" s="61">
        <f t="shared" si="23"/>
        <v>5000</v>
      </c>
      <c r="J245" s="62">
        <f t="shared" si="24"/>
        <v>0</v>
      </c>
      <c r="K245" s="6"/>
      <c r="L245" s="45" t="s">
        <v>132</v>
      </c>
      <c r="U245" s="179" t="str" cm="1">
        <f t="array" ref="U245">IF(C245="",INDEX(C239:C245,MATCH(TRUE,INDEX((C239:C245&lt;&gt;""),0),0)),C245)</f>
        <v>Britoil Journey</v>
      </c>
      <c r="V245" s="180">
        <f t="shared" si="20"/>
        <v>1</v>
      </c>
      <c r="W245" s="182">
        <v>20000</v>
      </c>
      <c r="X245" s="180"/>
      <c r="Y245" s="180">
        <f t="shared" si="21"/>
        <v>21388</v>
      </c>
      <c r="Z245" s="181"/>
    </row>
    <row r="246" spans="1:26" ht="25" customHeight="1" outlineLevel="1" x14ac:dyDescent="0.35">
      <c r="B246" s="122"/>
      <c r="C246" s="122"/>
      <c r="D246" s="122"/>
      <c r="E246" s="6" t="s">
        <v>114</v>
      </c>
      <c r="F246" s="32" t="s">
        <v>17</v>
      </c>
      <c r="G246" s="37"/>
      <c r="H246" s="61">
        <f t="shared" si="22"/>
        <v>0</v>
      </c>
      <c r="I246" s="61">
        <f t="shared" si="23"/>
        <v>100</v>
      </c>
      <c r="J246" s="62">
        <f t="shared" si="24"/>
        <v>0</v>
      </c>
      <c r="K246" s="6"/>
      <c r="L246" s="45"/>
      <c r="U246" s="179" t="str" cm="1">
        <f t="array" ref="U246">IF(C246="",INDEX(C240:C246,MATCH(TRUE,INDEX((C240:C246&lt;&gt;""),0),0)),C246)</f>
        <v>Britoil Journey</v>
      </c>
      <c r="V246" s="180">
        <f t="shared" si="20"/>
        <v>1</v>
      </c>
      <c r="W246" s="182">
        <v>20000</v>
      </c>
      <c r="X246" s="180"/>
      <c r="Y246" s="180">
        <f t="shared" si="21"/>
        <v>21388</v>
      </c>
      <c r="Z246" s="181"/>
    </row>
    <row r="247" spans="1:26" ht="25" customHeight="1" outlineLevel="1" x14ac:dyDescent="0.35">
      <c r="B247" s="122"/>
      <c r="C247" s="122"/>
      <c r="D247" s="122"/>
      <c r="E247" s="6" t="s">
        <v>113</v>
      </c>
      <c r="F247" s="32" t="s">
        <v>17</v>
      </c>
      <c r="G247" s="37"/>
      <c r="H247" s="61">
        <f t="shared" si="22"/>
        <v>16000</v>
      </c>
      <c r="I247" s="61">
        <f t="shared" si="23"/>
        <v>100</v>
      </c>
      <c r="J247" s="62">
        <f t="shared" si="24"/>
        <v>85</v>
      </c>
      <c r="K247" s="6"/>
      <c r="L247" s="45" t="s">
        <v>141</v>
      </c>
      <c r="U247" s="179" t="str" cm="1">
        <f t="array" ref="U247">IF(C247="",INDEX(C241:C247,MATCH(TRUE,INDEX((C241:C247&lt;&gt;""),0),0)),C247)</f>
        <v>Britoil Journey</v>
      </c>
      <c r="V247" s="180">
        <f t="shared" si="20"/>
        <v>1</v>
      </c>
      <c r="W247" s="182">
        <v>20000</v>
      </c>
      <c r="X247" s="180"/>
      <c r="Y247" s="180">
        <f t="shared" si="21"/>
        <v>21388</v>
      </c>
      <c r="Z247" s="181"/>
    </row>
    <row r="248" spans="1:26" ht="25" customHeight="1" outlineLevel="1" x14ac:dyDescent="0.35">
      <c r="B248" s="122"/>
      <c r="C248" s="122"/>
      <c r="D248" s="122"/>
      <c r="E248" s="6" t="s">
        <v>110</v>
      </c>
      <c r="F248" s="32" t="s">
        <v>17</v>
      </c>
      <c r="G248" s="37"/>
      <c r="H248" s="61">
        <f t="shared" si="22"/>
        <v>8300</v>
      </c>
      <c r="I248" s="61">
        <f t="shared" si="23"/>
        <v>1000</v>
      </c>
      <c r="J248" s="62">
        <f t="shared" si="24"/>
        <v>45</v>
      </c>
      <c r="K248" s="6"/>
      <c r="L248" s="45"/>
      <c r="U248" s="179" t="str" cm="1">
        <f t="array" ref="U248">IF(C248="",INDEX(C242:C248,MATCH(TRUE,INDEX((C242:C248&lt;&gt;""),0),0)),C248)</f>
        <v>Britoil Journey</v>
      </c>
      <c r="V248" s="180">
        <f t="shared" si="20"/>
        <v>1</v>
      </c>
      <c r="W248" s="182">
        <v>20000</v>
      </c>
      <c r="X248" s="180"/>
      <c r="Y248" s="180">
        <f t="shared" si="21"/>
        <v>21388</v>
      </c>
      <c r="Z248" s="181"/>
    </row>
    <row r="249" spans="1:26" ht="25" customHeight="1" outlineLevel="1" x14ac:dyDescent="0.35">
      <c r="B249" s="123"/>
      <c r="C249" s="123"/>
      <c r="D249" s="123"/>
      <c r="E249" s="7" t="s">
        <v>14</v>
      </c>
      <c r="F249" s="32" t="s">
        <v>21</v>
      </c>
      <c r="G249" s="37"/>
      <c r="H249" s="61" t="str">
        <f t="shared" si="22"/>
        <v/>
      </c>
      <c r="I249" s="61" t="str">
        <f t="shared" si="23"/>
        <v/>
      </c>
      <c r="J249" s="62" t="str">
        <f t="shared" si="24"/>
        <v/>
      </c>
      <c r="K249" s="6"/>
      <c r="L249" s="46"/>
      <c r="U249" s="179" t="str" cm="1">
        <f t="array" ref="U249">IF(C249="",INDEX(C243:C249,MATCH(TRUE,INDEX((C243:C249&lt;&gt;""),0),0)),C249)</f>
        <v>Britoil Journey</v>
      </c>
      <c r="V249" s="180">
        <f t="shared" si="20"/>
        <v>1</v>
      </c>
      <c r="W249" s="182">
        <v>20000</v>
      </c>
      <c r="X249" s="180"/>
      <c r="Y249" s="180">
        <f t="shared" si="21"/>
        <v>21388</v>
      </c>
      <c r="Z249" s="181"/>
    </row>
    <row r="250" spans="1:26" ht="30" customHeight="1" x14ac:dyDescent="0.35">
      <c r="A250" s="8" t="s">
        <v>140</v>
      </c>
      <c r="B250" s="124">
        <v>43</v>
      </c>
      <c r="C250" s="124" t="s">
        <v>70</v>
      </c>
      <c r="D250" s="124" t="s">
        <v>69</v>
      </c>
      <c r="E250" s="26" t="s">
        <v>106</v>
      </c>
      <c r="F250" s="31"/>
      <c r="G250" s="34"/>
      <c r="H250" s="55" t="str">
        <f t="shared" si="22"/>
        <v/>
      </c>
      <c r="I250" s="55" t="str">
        <f t="shared" si="23"/>
        <v/>
      </c>
      <c r="J250" s="56" t="str">
        <f t="shared" si="24"/>
        <v/>
      </c>
      <c r="K250" s="2"/>
      <c r="L250" s="41"/>
      <c r="U250" s="179" t="str" cm="1">
        <f t="array" ref="U250">IF(C250="",INDEX(C244:C250,MATCH(TRUE,INDEX((C244:C250&lt;&gt;""),0),0)),C250)</f>
        <v>Britoil Justice</v>
      </c>
      <c r="V250" s="180">
        <f t="shared" si="20"/>
        <v>1</v>
      </c>
      <c r="W250" s="182">
        <v>20000</v>
      </c>
      <c r="X250" s="180"/>
      <c r="Y250" s="180">
        <f t="shared" si="21"/>
        <v>21388</v>
      </c>
      <c r="Z250" s="181"/>
    </row>
    <row r="251" spans="1:26" ht="25" customHeight="1" outlineLevel="1" x14ac:dyDescent="0.35">
      <c r="B251" s="125"/>
      <c r="C251" s="125"/>
      <c r="D251" s="125"/>
      <c r="E251" s="3" t="s">
        <v>13</v>
      </c>
      <c r="F251" s="31" t="s">
        <v>17</v>
      </c>
      <c r="G251" s="35"/>
      <c r="H251" s="57">
        <f t="shared" si="22"/>
        <v>12000</v>
      </c>
      <c r="I251" s="57">
        <f t="shared" si="23"/>
        <v>3200</v>
      </c>
      <c r="J251" s="58">
        <f t="shared" si="24"/>
        <v>64</v>
      </c>
      <c r="K251" s="3"/>
      <c r="L251" s="42"/>
      <c r="U251" s="179" t="str" cm="1">
        <f t="array" ref="U251">IF(C251="",INDEX(C245:C251,MATCH(TRUE,INDEX((C245:C251&lt;&gt;""),0),0)),C251)</f>
        <v>Britoil Justice</v>
      </c>
      <c r="V251" s="180">
        <f t="shared" si="20"/>
        <v>1</v>
      </c>
      <c r="W251" s="182">
        <v>20000</v>
      </c>
      <c r="X251" s="180"/>
      <c r="Y251" s="180">
        <f t="shared" si="21"/>
        <v>21388</v>
      </c>
      <c r="Z251" s="181"/>
    </row>
    <row r="252" spans="1:26" ht="25" customHeight="1" outlineLevel="1" x14ac:dyDescent="0.35">
      <c r="B252" s="125"/>
      <c r="C252" s="125"/>
      <c r="D252" s="125"/>
      <c r="E252" s="3" t="s">
        <v>107</v>
      </c>
      <c r="F252" s="31" t="s">
        <v>17</v>
      </c>
      <c r="G252" s="35">
        <v>45733</v>
      </c>
      <c r="H252" s="57">
        <f t="shared" si="22"/>
        <v>0</v>
      </c>
      <c r="I252" s="57">
        <f t="shared" si="23"/>
        <v>5000</v>
      </c>
      <c r="J252" s="58">
        <f t="shared" si="24"/>
        <v>0</v>
      </c>
      <c r="K252" s="3"/>
      <c r="L252" s="42" t="s">
        <v>132</v>
      </c>
      <c r="U252" s="179" t="str" cm="1">
        <f t="array" ref="U252">IF(C252="",INDEX(C246:C252,MATCH(TRUE,INDEX((C246:C252&lt;&gt;""),0),0)),C252)</f>
        <v>Britoil Justice</v>
      </c>
      <c r="V252" s="180">
        <f t="shared" si="20"/>
        <v>1</v>
      </c>
      <c r="W252" s="182">
        <v>20000</v>
      </c>
      <c r="X252" s="180"/>
      <c r="Y252" s="180">
        <f t="shared" si="21"/>
        <v>21388</v>
      </c>
      <c r="Z252" s="181"/>
    </row>
    <row r="253" spans="1:26" ht="25" customHeight="1" outlineLevel="1" x14ac:dyDescent="0.35">
      <c r="B253" s="125"/>
      <c r="C253" s="125"/>
      <c r="D253" s="125"/>
      <c r="E253" s="3" t="s">
        <v>114</v>
      </c>
      <c r="F253" s="31" t="s">
        <v>17</v>
      </c>
      <c r="G253" s="35"/>
      <c r="H253" s="57">
        <f t="shared" si="22"/>
        <v>0</v>
      </c>
      <c r="I253" s="57">
        <f t="shared" si="23"/>
        <v>100</v>
      </c>
      <c r="J253" s="58">
        <f t="shared" si="24"/>
        <v>0</v>
      </c>
      <c r="K253" s="3"/>
      <c r="L253" s="42"/>
      <c r="U253" s="179" t="str" cm="1">
        <f t="array" ref="U253">IF(C253="",INDEX(C247:C253,MATCH(TRUE,INDEX((C247:C253&lt;&gt;""),0),0)),C253)</f>
        <v>Britoil Justice</v>
      </c>
      <c r="V253" s="180">
        <f t="shared" si="20"/>
        <v>1</v>
      </c>
      <c r="W253" s="182">
        <v>20000</v>
      </c>
      <c r="X253" s="180"/>
      <c r="Y253" s="180">
        <f t="shared" si="21"/>
        <v>21388</v>
      </c>
      <c r="Z253" s="181"/>
    </row>
    <row r="254" spans="1:26" ht="25" customHeight="1" outlineLevel="1" x14ac:dyDescent="0.35">
      <c r="B254" s="125"/>
      <c r="C254" s="125"/>
      <c r="D254" s="125"/>
      <c r="E254" s="3" t="s">
        <v>113</v>
      </c>
      <c r="F254" s="31" t="s">
        <v>17</v>
      </c>
      <c r="G254" s="35"/>
      <c r="H254" s="57">
        <f t="shared" si="22"/>
        <v>16000</v>
      </c>
      <c r="I254" s="57">
        <f t="shared" si="23"/>
        <v>100</v>
      </c>
      <c r="J254" s="58">
        <f t="shared" si="24"/>
        <v>85</v>
      </c>
      <c r="K254" s="3"/>
      <c r="L254" s="42" t="s">
        <v>141</v>
      </c>
      <c r="U254" s="179" t="str" cm="1">
        <f t="array" ref="U254">IF(C254="",INDEX(C248:C254,MATCH(TRUE,INDEX((C248:C254&lt;&gt;""),0),0)),C254)</f>
        <v>Britoil Justice</v>
      </c>
      <c r="V254" s="180">
        <f t="shared" si="20"/>
        <v>1</v>
      </c>
      <c r="W254" s="182">
        <v>20000</v>
      </c>
      <c r="X254" s="180"/>
      <c r="Y254" s="180">
        <f t="shared" si="21"/>
        <v>21388</v>
      </c>
      <c r="Z254" s="181"/>
    </row>
    <row r="255" spans="1:26" ht="25" customHeight="1" outlineLevel="1" x14ac:dyDescent="0.35">
      <c r="B255" s="125"/>
      <c r="C255" s="125"/>
      <c r="D255" s="125"/>
      <c r="E255" s="3" t="s">
        <v>110</v>
      </c>
      <c r="F255" s="31" t="s">
        <v>21</v>
      </c>
      <c r="G255" s="35"/>
      <c r="H255" s="57" t="str">
        <f t="shared" si="22"/>
        <v/>
      </c>
      <c r="I255" s="57" t="str">
        <f t="shared" si="23"/>
        <v/>
      </c>
      <c r="J255" s="58" t="str">
        <f t="shared" si="24"/>
        <v/>
      </c>
      <c r="K255" s="3"/>
      <c r="L255" s="42"/>
      <c r="U255" s="179" t="str" cm="1">
        <f t="array" ref="U255">IF(C255="",INDEX(C249:C255,MATCH(TRUE,INDEX((C249:C255&lt;&gt;""),0),0)),C255)</f>
        <v>Britoil Justice</v>
      </c>
      <c r="V255" s="180">
        <f t="shared" si="20"/>
        <v>1</v>
      </c>
      <c r="W255" s="182">
        <v>20000</v>
      </c>
      <c r="X255" s="180"/>
      <c r="Y255" s="180">
        <f t="shared" si="21"/>
        <v>21388</v>
      </c>
      <c r="Z255" s="181"/>
    </row>
    <row r="256" spans="1:26" ht="25" customHeight="1" outlineLevel="1" x14ac:dyDescent="0.35">
      <c r="B256" s="126"/>
      <c r="C256" s="126"/>
      <c r="D256" s="126"/>
      <c r="E256" s="4" t="s">
        <v>14</v>
      </c>
      <c r="F256" s="31" t="s">
        <v>109</v>
      </c>
      <c r="G256" s="39"/>
      <c r="H256" s="65" t="str">
        <f t="shared" si="22"/>
        <v/>
      </c>
      <c r="I256" s="65" t="str">
        <f t="shared" si="23"/>
        <v/>
      </c>
      <c r="J256" s="66" t="str">
        <f t="shared" si="24"/>
        <v/>
      </c>
      <c r="K256" s="4"/>
      <c r="L256" s="43"/>
      <c r="U256" s="179" t="str" cm="1">
        <f t="array" ref="U256">IF(C256="",INDEX(C250:C256,MATCH(TRUE,INDEX((C250:C256&lt;&gt;""),0),0)),C256)</f>
        <v>Britoil Justice</v>
      </c>
      <c r="V256" s="180">
        <f t="shared" si="20"/>
        <v>1</v>
      </c>
      <c r="W256" s="182">
        <v>20000</v>
      </c>
      <c r="X256" s="180"/>
      <c r="Y256" s="180">
        <f t="shared" si="21"/>
        <v>21388</v>
      </c>
      <c r="Z256" s="181"/>
    </row>
    <row r="257" spans="1:26" ht="30" customHeight="1" x14ac:dyDescent="0.35">
      <c r="A257" s="8" t="s">
        <v>140</v>
      </c>
      <c r="B257" s="121">
        <v>44</v>
      </c>
      <c r="C257" s="121" t="s">
        <v>71</v>
      </c>
      <c r="D257" s="121" t="s">
        <v>72</v>
      </c>
      <c r="E257" s="27" t="s">
        <v>106</v>
      </c>
      <c r="F257" s="32"/>
      <c r="G257" s="37"/>
      <c r="H257" s="61" t="str">
        <f t="shared" si="22"/>
        <v/>
      </c>
      <c r="I257" s="61" t="str">
        <f t="shared" si="23"/>
        <v/>
      </c>
      <c r="J257" s="62" t="str">
        <f t="shared" si="24"/>
        <v/>
      </c>
      <c r="K257" s="6"/>
      <c r="L257" s="44"/>
      <c r="U257" s="179" t="str" cm="1">
        <f t="array" ref="U257">IF(C257="",INDEX(C251:C257,MATCH(TRUE,INDEX((C251:C257&lt;&gt;""),0),0)),C257)</f>
        <v>BOS Pride</v>
      </c>
      <c r="V257" s="180">
        <f t="shared" si="20"/>
        <v>1.1428838601084721</v>
      </c>
      <c r="W257" s="182">
        <v>25000</v>
      </c>
      <c r="X257" s="180"/>
      <c r="Y257" s="180">
        <f t="shared" si="21"/>
        <v>24444</v>
      </c>
      <c r="Z257" s="181"/>
    </row>
    <row r="258" spans="1:26" ht="25" customHeight="1" outlineLevel="1" x14ac:dyDescent="0.35">
      <c r="B258" s="122"/>
      <c r="C258" s="122"/>
      <c r="D258" s="122"/>
      <c r="E258" s="6" t="s">
        <v>13</v>
      </c>
      <c r="F258" s="32" t="s">
        <v>17</v>
      </c>
      <c r="G258" s="37"/>
      <c r="H258" s="61">
        <f t="shared" si="22"/>
        <v>13714.606321301666</v>
      </c>
      <c r="I258" s="61">
        <f t="shared" si="23"/>
        <v>3657.2283523471106</v>
      </c>
      <c r="J258" s="62">
        <f t="shared" si="24"/>
        <v>73.144567046942214</v>
      </c>
      <c r="K258" s="6"/>
      <c r="L258" s="45"/>
      <c r="U258" s="179" t="str" cm="1">
        <f t="array" ref="U258">IF(C258="",INDEX(C252:C258,MATCH(TRUE,INDEX((C252:C258&lt;&gt;""),0),0)),C258)</f>
        <v>BOS Pride</v>
      </c>
      <c r="V258" s="180">
        <f t="shared" si="20"/>
        <v>1.1428838601084721</v>
      </c>
      <c r="W258" s="182">
        <v>25000</v>
      </c>
      <c r="X258" s="180"/>
      <c r="Y258" s="180">
        <f t="shared" si="21"/>
        <v>24444</v>
      </c>
      <c r="Z258" s="181"/>
    </row>
    <row r="259" spans="1:26" ht="25" customHeight="1" outlineLevel="1" x14ac:dyDescent="0.35">
      <c r="B259" s="122"/>
      <c r="C259" s="122"/>
      <c r="D259" s="122"/>
      <c r="E259" s="6" t="s">
        <v>107</v>
      </c>
      <c r="F259" s="32" t="s">
        <v>32</v>
      </c>
      <c r="G259" s="37"/>
      <c r="H259" s="61" t="str">
        <f t="shared" si="22"/>
        <v/>
      </c>
      <c r="I259" s="61" t="str">
        <f t="shared" si="23"/>
        <v/>
      </c>
      <c r="J259" s="62" t="str">
        <f t="shared" si="24"/>
        <v/>
      </c>
      <c r="K259" s="6"/>
      <c r="L259" s="45"/>
      <c r="U259" s="179" t="str" cm="1">
        <f t="array" ref="U259">IF(C259="",INDEX(C253:C259,MATCH(TRUE,INDEX((C253:C259&lt;&gt;""),0),0)),C259)</f>
        <v>BOS Pride</v>
      </c>
      <c r="V259" s="180">
        <f t="shared" si="20"/>
        <v>1.1428838601084721</v>
      </c>
      <c r="W259" s="182">
        <v>25000</v>
      </c>
      <c r="X259" s="180"/>
      <c r="Y259" s="180">
        <f t="shared" si="21"/>
        <v>24444</v>
      </c>
      <c r="Z259" s="181"/>
    </row>
    <row r="260" spans="1:26" ht="25" customHeight="1" outlineLevel="1" x14ac:dyDescent="0.35">
      <c r="B260" s="122"/>
      <c r="C260" s="122"/>
      <c r="D260" s="122"/>
      <c r="E260" s="6" t="s">
        <v>110</v>
      </c>
      <c r="F260" s="32" t="s">
        <v>17</v>
      </c>
      <c r="G260" s="37"/>
      <c r="H260" s="61">
        <f t="shared" si="22"/>
        <v>9485.9360389003177</v>
      </c>
      <c r="I260" s="61">
        <f t="shared" si="23"/>
        <v>1142.8838601084722</v>
      </c>
      <c r="J260" s="62">
        <f t="shared" si="24"/>
        <v>51.429773704881242</v>
      </c>
      <c r="K260" s="6"/>
      <c r="L260" s="45"/>
      <c r="U260" s="179" t="str" cm="1">
        <f t="array" ref="U260">IF(C260="",INDEX(C254:C260,MATCH(TRUE,INDEX((C254:C260&lt;&gt;""),0),0)),C260)</f>
        <v>BOS Pride</v>
      </c>
      <c r="V260" s="180">
        <f t="shared" si="20"/>
        <v>1.1428838601084721</v>
      </c>
      <c r="W260" s="182">
        <v>25000</v>
      </c>
      <c r="X260" s="180"/>
      <c r="Y260" s="180">
        <f t="shared" si="21"/>
        <v>24444</v>
      </c>
      <c r="Z260" s="181"/>
    </row>
    <row r="261" spans="1:26" ht="25" customHeight="1" outlineLevel="1" x14ac:dyDescent="0.35">
      <c r="B261" s="122"/>
      <c r="C261" s="122"/>
      <c r="D261" s="122"/>
      <c r="E261" s="6" t="s">
        <v>113</v>
      </c>
      <c r="F261" s="32" t="s">
        <v>21</v>
      </c>
      <c r="G261" s="37"/>
      <c r="H261" s="61" t="str">
        <f t="shared" si="22"/>
        <v/>
      </c>
      <c r="I261" s="61" t="str">
        <f t="shared" si="23"/>
        <v/>
      </c>
      <c r="J261" s="62" t="str">
        <f t="shared" si="24"/>
        <v/>
      </c>
      <c r="K261" s="6"/>
      <c r="L261" s="45" t="s">
        <v>179</v>
      </c>
      <c r="U261" s="179" t="str" cm="1">
        <f t="array" ref="U261">IF(C261="",INDEX(C255:C261,MATCH(TRUE,INDEX((C255:C261&lt;&gt;""),0),0)),C261)</f>
        <v>BOS Pride</v>
      </c>
      <c r="V261" s="180">
        <f t="shared" si="20"/>
        <v>1.1428838601084721</v>
      </c>
      <c r="W261" s="182">
        <v>25000</v>
      </c>
      <c r="X261" s="180"/>
      <c r="Y261" s="180">
        <f t="shared" si="21"/>
        <v>24444</v>
      </c>
      <c r="Z261" s="181"/>
    </row>
    <row r="262" spans="1:26" ht="25" customHeight="1" outlineLevel="1" x14ac:dyDescent="0.35">
      <c r="B262" s="122"/>
      <c r="C262" s="122"/>
      <c r="D262" s="122"/>
      <c r="E262" s="6" t="s">
        <v>114</v>
      </c>
      <c r="F262" s="32" t="s">
        <v>17</v>
      </c>
      <c r="G262" s="37"/>
      <c r="H262" s="61">
        <f t="shared" si="22"/>
        <v>0</v>
      </c>
      <c r="I262" s="61">
        <f t="shared" si="23"/>
        <v>114.2883860108472</v>
      </c>
      <c r="J262" s="62">
        <f t="shared" si="24"/>
        <v>0</v>
      </c>
      <c r="K262" s="6"/>
      <c r="L262" s="45"/>
      <c r="U262" s="179" t="str" cm="1">
        <f t="array" ref="U262">IF(C262="",INDEX(C256:C262,MATCH(TRUE,INDEX((C256:C262&lt;&gt;""),0),0)),C262)</f>
        <v>BOS Pride</v>
      </c>
      <c r="V262" s="180">
        <f t="shared" si="20"/>
        <v>1.1428838601084721</v>
      </c>
      <c r="W262" s="182">
        <v>25000</v>
      </c>
      <c r="X262" s="180"/>
      <c r="Y262" s="180">
        <f t="shared" si="21"/>
        <v>24444</v>
      </c>
      <c r="Z262" s="181"/>
    </row>
    <row r="263" spans="1:26" ht="25" customHeight="1" outlineLevel="1" x14ac:dyDescent="0.35">
      <c r="B263" s="123"/>
      <c r="C263" s="123"/>
      <c r="D263" s="123"/>
      <c r="E263" s="7" t="s">
        <v>14</v>
      </c>
      <c r="F263" s="32" t="s">
        <v>109</v>
      </c>
      <c r="G263" s="37"/>
      <c r="H263" s="61" t="str">
        <f t="shared" si="22"/>
        <v/>
      </c>
      <c r="I263" s="61" t="str">
        <f t="shared" si="23"/>
        <v/>
      </c>
      <c r="J263" s="62" t="str">
        <f t="shared" si="24"/>
        <v/>
      </c>
      <c r="K263" s="6"/>
      <c r="L263" s="46"/>
      <c r="U263" s="179" t="str" cm="1">
        <f t="array" ref="U263">IF(C263="",INDEX(C257:C263,MATCH(TRUE,INDEX((C257:C263&lt;&gt;""),0),0)),C263)</f>
        <v>BOS Pride</v>
      </c>
      <c r="V263" s="180">
        <f t="shared" si="20"/>
        <v>1.1428838601084721</v>
      </c>
      <c r="W263" s="182">
        <v>25000</v>
      </c>
      <c r="X263" s="180"/>
      <c r="Y263" s="180">
        <f t="shared" si="21"/>
        <v>24444</v>
      </c>
      <c r="Z263" s="181"/>
    </row>
    <row r="264" spans="1:26" ht="30" customHeight="1" x14ac:dyDescent="0.35">
      <c r="B264" s="124">
        <v>45</v>
      </c>
      <c r="C264" s="124" t="s">
        <v>73</v>
      </c>
      <c r="D264" s="124" t="s">
        <v>72</v>
      </c>
      <c r="E264" s="26" t="s">
        <v>106</v>
      </c>
      <c r="F264" s="31"/>
      <c r="G264" s="34"/>
      <c r="H264" s="55" t="str">
        <f t="shared" si="22"/>
        <v/>
      </c>
      <c r="I264" s="55" t="str">
        <f t="shared" si="23"/>
        <v/>
      </c>
      <c r="J264" s="56" t="str">
        <f t="shared" si="24"/>
        <v/>
      </c>
      <c r="K264" s="2"/>
      <c r="L264" s="41"/>
      <c r="U264" s="179" t="str" cm="1">
        <f t="array" ref="U264">IF(C264="",INDEX(C258:C264,MATCH(TRUE,INDEX((C258:C264&lt;&gt;""),0),0)),C264)</f>
        <v>BOS Princess</v>
      </c>
      <c r="V264" s="180">
        <f t="shared" si="20"/>
        <v>1</v>
      </c>
      <c r="W264" s="182">
        <v>20000</v>
      </c>
      <c r="X264" s="180"/>
      <c r="Y264" s="180">
        <f t="shared" si="21"/>
        <v>21388</v>
      </c>
      <c r="Z264" s="181"/>
    </row>
    <row r="265" spans="1:26" ht="30" customHeight="1" outlineLevel="1" x14ac:dyDescent="0.35">
      <c r="B265" s="125"/>
      <c r="C265" s="125"/>
      <c r="D265" s="125"/>
      <c r="E265" s="3" t="s">
        <v>203</v>
      </c>
      <c r="F265" s="31" t="s">
        <v>17</v>
      </c>
      <c r="G265" s="35"/>
      <c r="H265" s="57">
        <v>10000</v>
      </c>
      <c r="I265" s="57">
        <v>5000</v>
      </c>
      <c r="J265" s="58">
        <v>100</v>
      </c>
      <c r="K265" s="3"/>
      <c r="L265" s="42"/>
      <c r="U265" s="179" t="str" cm="1">
        <f t="array" ref="U265">IF(C265="",INDEX(C259:C265,MATCH(TRUE,INDEX((C259:C265&lt;&gt;""),0),0)),C265)</f>
        <v>BOS Princess</v>
      </c>
      <c r="V265" s="180">
        <f t="shared" si="20"/>
        <v>1</v>
      </c>
      <c r="W265" s="182">
        <v>20000</v>
      </c>
      <c r="X265" s="180"/>
      <c r="Y265" s="180">
        <f t="shared" si="21"/>
        <v>21388</v>
      </c>
      <c r="Z265" s="181"/>
    </row>
    <row r="266" spans="1:26" ht="25" customHeight="1" outlineLevel="1" x14ac:dyDescent="0.35">
      <c r="B266" s="125"/>
      <c r="C266" s="125"/>
      <c r="D266" s="125"/>
      <c r="E266" s="3" t="s">
        <v>13</v>
      </c>
      <c r="F266" s="31" t="s">
        <v>17</v>
      </c>
      <c r="G266" s="35"/>
      <c r="H266" s="57">
        <f t="shared" si="22"/>
        <v>12000</v>
      </c>
      <c r="I266" s="57">
        <f t="shared" si="23"/>
        <v>3200</v>
      </c>
      <c r="J266" s="58">
        <f>IF(F266="Done", V266*VLOOKUP(E266, $AB$3:$AE$11, 4, FALSE), "")</f>
        <v>64</v>
      </c>
      <c r="K266" s="3"/>
      <c r="L266" s="42"/>
      <c r="U266" s="179" t="str" cm="1">
        <f t="array" ref="U266">IF(C266="",INDEX(C259:C266,MATCH(TRUE,INDEX((C259:C266&lt;&gt;""),0),0)),C266)</f>
        <v>BOS Princess</v>
      </c>
      <c r="V266" s="180">
        <f t="shared" ref="V266:V329" si="25">MIN(Y266/21388,1.3)</f>
        <v>1</v>
      </c>
      <c r="W266" s="182">
        <v>20000</v>
      </c>
      <c r="X266" s="180"/>
      <c r="Y266" s="180">
        <f t="shared" ref="Y266:Y329" si="26">INT(VLOOKUP(U266, $AB$30:$AH$96, 7, FALSE))</f>
        <v>21388</v>
      </c>
      <c r="Z266" s="181"/>
    </row>
    <row r="267" spans="1:26" ht="25" customHeight="1" outlineLevel="1" x14ac:dyDescent="0.35">
      <c r="B267" s="125"/>
      <c r="C267" s="125"/>
      <c r="D267" s="125"/>
      <c r="E267" s="3" t="s">
        <v>114</v>
      </c>
      <c r="F267" s="31" t="s">
        <v>21</v>
      </c>
      <c r="G267" s="35"/>
      <c r="H267" s="57" t="str">
        <f t="shared" si="22"/>
        <v/>
      </c>
      <c r="I267" s="57" t="str">
        <f t="shared" si="23"/>
        <v/>
      </c>
      <c r="J267" s="58" t="str">
        <f t="shared" si="24"/>
        <v/>
      </c>
      <c r="K267" s="3"/>
      <c r="L267" s="42"/>
      <c r="U267" s="179" t="str" cm="1">
        <f t="array" ref="U267">IF(C267="",INDEX(C260:C267,MATCH(TRUE,INDEX((C260:C267&lt;&gt;""),0),0)),C267)</f>
        <v>BOS Princess</v>
      </c>
      <c r="V267" s="180">
        <f t="shared" si="25"/>
        <v>1</v>
      </c>
      <c r="W267" s="182">
        <v>20000</v>
      </c>
      <c r="X267" s="180"/>
      <c r="Y267" s="180">
        <f t="shared" si="26"/>
        <v>21388</v>
      </c>
      <c r="Z267" s="181"/>
    </row>
    <row r="268" spans="1:26" ht="25" customHeight="1" outlineLevel="1" x14ac:dyDescent="0.35">
      <c r="B268" s="125"/>
      <c r="C268" s="125"/>
      <c r="D268" s="125"/>
      <c r="E268" s="3" t="s">
        <v>113</v>
      </c>
      <c r="F268" s="31"/>
      <c r="G268" s="35"/>
      <c r="H268" s="57" t="str">
        <f t="shared" si="22"/>
        <v/>
      </c>
      <c r="I268" s="57" t="str">
        <f t="shared" si="23"/>
        <v/>
      </c>
      <c r="J268" s="58" t="str">
        <f t="shared" si="24"/>
        <v/>
      </c>
      <c r="K268" s="3"/>
      <c r="L268" s="42"/>
      <c r="U268" s="179" t="str" cm="1">
        <f t="array" ref="U268">IF(C268="",INDEX(C261:C268,MATCH(TRUE,INDEX((C261:C268&lt;&gt;""),0),0)),C268)</f>
        <v>BOS Princess</v>
      </c>
      <c r="V268" s="180">
        <f t="shared" si="25"/>
        <v>1</v>
      </c>
      <c r="W268" s="182">
        <v>20000</v>
      </c>
      <c r="X268" s="180"/>
      <c r="Y268" s="180">
        <f t="shared" si="26"/>
        <v>21388</v>
      </c>
      <c r="Z268" s="181"/>
    </row>
    <row r="269" spans="1:26" ht="25" customHeight="1" outlineLevel="1" x14ac:dyDescent="0.35">
      <c r="B269" s="125"/>
      <c r="C269" s="125"/>
      <c r="D269" s="125"/>
      <c r="E269" s="3" t="s">
        <v>110</v>
      </c>
      <c r="F269" s="31" t="s">
        <v>21</v>
      </c>
      <c r="G269" s="35"/>
      <c r="H269" s="57" t="str">
        <f t="shared" si="22"/>
        <v/>
      </c>
      <c r="I269" s="57" t="str">
        <f t="shared" si="23"/>
        <v/>
      </c>
      <c r="J269" s="58" t="str">
        <f t="shared" si="24"/>
        <v/>
      </c>
      <c r="K269" s="3"/>
      <c r="L269" s="42"/>
      <c r="U269" s="179" t="str" cm="1">
        <f t="array" ref="U269">IF(C269="",INDEX(C262:C269,MATCH(TRUE,INDEX((C262:C269&lt;&gt;""),0),0)),C269)</f>
        <v>BOS Princess</v>
      </c>
      <c r="V269" s="180">
        <f t="shared" si="25"/>
        <v>1</v>
      </c>
      <c r="W269" s="182">
        <v>20000</v>
      </c>
      <c r="X269" s="180"/>
      <c r="Y269" s="180">
        <f t="shared" si="26"/>
        <v>21388</v>
      </c>
      <c r="Z269" s="181"/>
    </row>
    <row r="270" spans="1:26" ht="25" customHeight="1" outlineLevel="1" x14ac:dyDescent="0.35">
      <c r="B270" s="126"/>
      <c r="C270" s="126"/>
      <c r="D270" s="126"/>
      <c r="E270" s="4" t="s">
        <v>14</v>
      </c>
      <c r="F270" s="31" t="s">
        <v>17</v>
      </c>
      <c r="G270" s="39"/>
      <c r="H270" s="65">
        <f t="shared" si="22"/>
        <v>2500</v>
      </c>
      <c r="I270" s="65">
        <f t="shared" si="23"/>
        <v>3200</v>
      </c>
      <c r="J270" s="66">
        <f t="shared" si="24"/>
        <v>11</v>
      </c>
      <c r="K270" s="4"/>
      <c r="L270" s="43"/>
      <c r="U270" s="179" t="str" cm="1">
        <f t="array" ref="U270">IF(C270="",INDEX(C263:C270,MATCH(TRUE,INDEX((C263:C270&lt;&gt;""),0),0)),C270)</f>
        <v>BOS Princess</v>
      </c>
      <c r="V270" s="180">
        <f t="shared" si="25"/>
        <v>1</v>
      </c>
      <c r="W270" s="182">
        <v>20000</v>
      </c>
      <c r="X270" s="180"/>
      <c r="Y270" s="180">
        <f t="shared" si="26"/>
        <v>21388</v>
      </c>
      <c r="Z270" s="181"/>
    </row>
    <row r="271" spans="1:26" ht="30" customHeight="1" x14ac:dyDescent="0.35">
      <c r="A271" s="8" t="s">
        <v>140</v>
      </c>
      <c r="B271" s="121">
        <v>46</v>
      </c>
      <c r="C271" s="121" t="s">
        <v>74</v>
      </c>
      <c r="D271" s="121" t="s">
        <v>72</v>
      </c>
      <c r="E271" s="27" t="s">
        <v>106</v>
      </c>
      <c r="F271" s="32"/>
      <c r="G271" s="37"/>
      <c r="H271" s="61" t="str">
        <f t="shared" si="22"/>
        <v/>
      </c>
      <c r="I271" s="61" t="str">
        <f t="shared" si="23"/>
        <v/>
      </c>
      <c r="J271" s="62" t="str">
        <f t="shared" si="24"/>
        <v/>
      </c>
      <c r="K271" s="6"/>
      <c r="L271" s="44"/>
      <c r="U271" s="179" t="str" cm="1">
        <f t="array" ref="U271">IF(C271="",INDEX(C264:C271,MATCH(TRUE,INDEX((C264:C271&lt;&gt;""),0),0)),C271)</f>
        <v>BOS Pool</v>
      </c>
      <c r="V271" s="180">
        <f t="shared" si="25"/>
        <v>0.85716289508135401</v>
      </c>
      <c r="W271" s="182">
        <v>20000</v>
      </c>
      <c r="X271" s="180"/>
      <c r="Y271" s="180">
        <f t="shared" si="26"/>
        <v>18333</v>
      </c>
      <c r="Z271" s="181"/>
    </row>
    <row r="272" spans="1:26" ht="25" customHeight="1" outlineLevel="1" x14ac:dyDescent="0.35">
      <c r="B272" s="122"/>
      <c r="C272" s="122"/>
      <c r="D272" s="122"/>
      <c r="E272" s="6" t="s">
        <v>13</v>
      </c>
      <c r="F272" s="32" t="s">
        <v>21</v>
      </c>
      <c r="G272" s="37"/>
      <c r="H272" s="61" t="str">
        <f t="shared" si="22"/>
        <v/>
      </c>
      <c r="I272" s="61" t="str">
        <f t="shared" si="23"/>
        <v/>
      </c>
      <c r="J272" s="62" t="str">
        <f t="shared" si="24"/>
        <v/>
      </c>
      <c r="K272" s="6"/>
      <c r="L272" s="45" t="s">
        <v>162</v>
      </c>
      <c r="U272" s="179" t="str" cm="1">
        <f t="array" ref="U272">IF(C272="",INDEX(C266:C272,MATCH(TRUE,INDEX((C266:C272&lt;&gt;""),0),0)),C272)</f>
        <v>BOS Pool</v>
      </c>
      <c r="V272" s="180">
        <f t="shared" si="25"/>
        <v>0.85716289508135401</v>
      </c>
      <c r="W272" s="182">
        <v>20000</v>
      </c>
      <c r="X272" s="180"/>
      <c r="Y272" s="180">
        <f t="shared" si="26"/>
        <v>18333</v>
      </c>
      <c r="Z272" s="181"/>
    </row>
    <row r="273" spans="1:26" ht="25" customHeight="1" outlineLevel="1" x14ac:dyDescent="0.35">
      <c r="B273" s="122"/>
      <c r="C273" s="122"/>
      <c r="D273" s="122"/>
      <c r="E273" s="6" t="s">
        <v>114</v>
      </c>
      <c r="F273" s="32" t="s">
        <v>21</v>
      </c>
      <c r="G273" s="37"/>
      <c r="H273" s="61" t="str">
        <f t="shared" si="22"/>
        <v/>
      </c>
      <c r="I273" s="61" t="str">
        <f t="shared" si="23"/>
        <v/>
      </c>
      <c r="J273" s="62" t="str">
        <f t="shared" si="24"/>
        <v/>
      </c>
      <c r="K273" s="6"/>
      <c r="L273" s="45"/>
      <c r="U273" s="179" t="str" cm="1">
        <f t="array" ref="U273">IF(C273="",INDEX(C267:C273,MATCH(TRUE,INDEX((C267:C273&lt;&gt;""),0),0)),C273)</f>
        <v>BOS Pool</v>
      </c>
      <c r="V273" s="180">
        <f t="shared" si="25"/>
        <v>0.85716289508135401</v>
      </c>
      <c r="W273" s="182">
        <v>20000</v>
      </c>
      <c r="X273" s="180"/>
      <c r="Y273" s="180">
        <f t="shared" si="26"/>
        <v>18333</v>
      </c>
      <c r="Z273" s="181"/>
    </row>
    <row r="274" spans="1:26" ht="25" customHeight="1" outlineLevel="1" x14ac:dyDescent="0.35">
      <c r="B274" s="122"/>
      <c r="C274" s="122"/>
      <c r="D274" s="122"/>
      <c r="E274" s="6" t="s">
        <v>113</v>
      </c>
      <c r="F274" s="32" t="s">
        <v>21</v>
      </c>
      <c r="G274" s="37"/>
      <c r="H274" s="61" t="str">
        <f t="shared" si="22"/>
        <v/>
      </c>
      <c r="I274" s="61" t="str">
        <f t="shared" si="23"/>
        <v/>
      </c>
      <c r="J274" s="62" t="str">
        <f t="shared" si="24"/>
        <v/>
      </c>
      <c r="K274" s="6"/>
      <c r="L274" s="45" t="s">
        <v>163</v>
      </c>
      <c r="U274" s="179" t="str" cm="1">
        <f t="array" ref="U274">IF(C274="",INDEX(C268:C274,MATCH(TRUE,INDEX((C268:C274&lt;&gt;""),0),0)),C274)</f>
        <v>BOS Pool</v>
      </c>
      <c r="V274" s="180">
        <f t="shared" si="25"/>
        <v>0.85716289508135401</v>
      </c>
      <c r="W274" s="182">
        <v>20000</v>
      </c>
      <c r="X274" s="180"/>
      <c r="Y274" s="180">
        <f t="shared" si="26"/>
        <v>18333</v>
      </c>
      <c r="Z274" s="181"/>
    </row>
    <row r="275" spans="1:26" ht="25" customHeight="1" outlineLevel="1" x14ac:dyDescent="0.35">
      <c r="B275" s="122"/>
      <c r="C275" s="122"/>
      <c r="D275" s="122"/>
      <c r="E275" s="6" t="s">
        <v>110</v>
      </c>
      <c r="F275" s="32" t="s">
        <v>21</v>
      </c>
      <c r="G275" s="37"/>
      <c r="H275" s="61" t="str">
        <f t="shared" si="22"/>
        <v/>
      </c>
      <c r="I275" s="61" t="str">
        <f t="shared" si="23"/>
        <v/>
      </c>
      <c r="J275" s="62" t="str">
        <f t="shared" si="24"/>
        <v/>
      </c>
      <c r="K275" s="6"/>
      <c r="L275" s="45" t="s">
        <v>164</v>
      </c>
      <c r="U275" s="179" t="str" cm="1">
        <f t="array" ref="U275">IF(C275="",INDEX(C269:C275,MATCH(TRUE,INDEX((C269:C275&lt;&gt;""),0),0)),C275)</f>
        <v>BOS Pool</v>
      </c>
      <c r="V275" s="180">
        <f t="shared" si="25"/>
        <v>0.85716289508135401</v>
      </c>
      <c r="W275" s="182">
        <v>20000</v>
      </c>
      <c r="X275" s="180"/>
      <c r="Y275" s="180">
        <f t="shared" si="26"/>
        <v>18333</v>
      </c>
      <c r="Z275" s="181"/>
    </row>
    <row r="276" spans="1:26" ht="25" customHeight="1" outlineLevel="1" x14ac:dyDescent="0.35">
      <c r="B276" s="123"/>
      <c r="C276" s="123"/>
      <c r="D276" s="123"/>
      <c r="E276" s="7" t="s">
        <v>14</v>
      </c>
      <c r="F276" s="32" t="s">
        <v>21</v>
      </c>
      <c r="G276" s="37"/>
      <c r="H276" s="61" t="str">
        <f t="shared" si="22"/>
        <v/>
      </c>
      <c r="I276" s="61" t="str">
        <f t="shared" si="23"/>
        <v/>
      </c>
      <c r="J276" s="62" t="str">
        <f t="shared" si="24"/>
        <v/>
      </c>
      <c r="K276" s="6"/>
      <c r="L276" s="46"/>
      <c r="U276" s="179" t="str" cm="1">
        <f t="array" ref="U276">IF(C276="",INDEX(C270:C276,MATCH(TRUE,INDEX((C270:C276&lt;&gt;""),0),0)),C276)</f>
        <v>BOS Pool</v>
      </c>
      <c r="V276" s="180">
        <f t="shared" si="25"/>
        <v>0.85716289508135401</v>
      </c>
      <c r="W276" s="182">
        <v>20000</v>
      </c>
      <c r="X276" s="180"/>
      <c r="Y276" s="180">
        <f t="shared" si="26"/>
        <v>18333</v>
      </c>
      <c r="Z276" s="181"/>
    </row>
    <row r="277" spans="1:26" ht="30" customHeight="1" x14ac:dyDescent="0.35">
      <c r="B277" s="124">
        <v>47</v>
      </c>
      <c r="C277" s="124" t="s">
        <v>75</v>
      </c>
      <c r="D277" s="124" t="s">
        <v>76</v>
      </c>
      <c r="E277" s="26" t="s">
        <v>106</v>
      </c>
      <c r="F277" s="31"/>
      <c r="G277" s="34"/>
      <c r="H277" s="55" t="str">
        <f t="shared" si="22"/>
        <v/>
      </c>
      <c r="I277" s="55" t="str">
        <f t="shared" si="23"/>
        <v/>
      </c>
      <c r="J277" s="56" t="str">
        <f t="shared" si="24"/>
        <v/>
      </c>
      <c r="K277" s="2"/>
      <c r="L277" s="41"/>
      <c r="U277" s="179" t="str" cm="1">
        <f t="array" ref="U277">IF(C277="",INDEX(C271:C277,MATCH(TRUE,INDEX((C271:C277&lt;&gt;""),0),0)),C277)</f>
        <v>BOS Base</v>
      </c>
      <c r="V277" s="180">
        <f t="shared" si="25"/>
        <v>0.85716289508135401</v>
      </c>
      <c r="W277" s="182">
        <v>20000</v>
      </c>
      <c r="X277" s="180"/>
      <c r="Y277" s="180">
        <f t="shared" si="26"/>
        <v>18333</v>
      </c>
      <c r="Z277" s="181"/>
    </row>
    <row r="278" spans="1:26" ht="25" customHeight="1" outlineLevel="1" x14ac:dyDescent="0.35">
      <c r="B278" s="125"/>
      <c r="C278" s="125"/>
      <c r="D278" s="125"/>
      <c r="E278" s="3" t="s">
        <v>13</v>
      </c>
      <c r="F278" s="31"/>
      <c r="G278" s="35"/>
      <c r="H278" s="57" t="str">
        <f t="shared" si="22"/>
        <v/>
      </c>
      <c r="I278" s="57" t="str">
        <f t="shared" si="23"/>
        <v/>
      </c>
      <c r="J278" s="58" t="str">
        <f t="shared" si="24"/>
        <v/>
      </c>
      <c r="K278" s="3"/>
      <c r="L278" s="42"/>
      <c r="U278" s="179" t="str" cm="1">
        <f t="array" ref="U278">IF(C278="",INDEX(C272:C278,MATCH(TRUE,INDEX((C272:C278&lt;&gt;""),0),0)),C278)</f>
        <v>BOS Base</v>
      </c>
      <c r="V278" s="180">
        <f t="shared" si="25"/>
        <v>0.85716289508135401</v>
      </c>
      <c r="W278" s="182">
        <v>20000</v>
      </c>
      <c r="X278" s="180"/>
      <c r="Y278" s="180">
        <f t="shared" si="26"/>
        <v>18333</v>
      </c>
      <c r="Z278" s="181"/>
    </row>
    <row r="279" spans="1:26" ht="25" customHeight="1" outlineLevel="1" x14ac:dyDescent="0.35">
      <c r="B279" s="125"/>
      <c r="C279" s="125"/>
      <c r="D279" s="125"/>
      <c r="E279" s="3" t="s">
        <v>113</v>
      </c>
      <c r="F279" s="31"/>
      <c r="G279" s="35"/>
      <c r="H279" s="57" t="str">
        <f t="shared" si="22"/>
        <v/>
      </c>
      <c r="I279" s="57" t="str">
        <f t="shared" si="23"/>
        <v/>
      </c>
      <c r="J279" s="58" t="str">
        <f t="shared" si="24"/>
        <v/>
      </c>
      <c r="K279" s="3"/>
      <c r="L279" s="42"/>
      <c r="U279" s="179" t="str" cm="1">
        <f t="array" ref="U279">IF(C279="",INDEX(C273:C279,MATCH(TRUE,INDEX((C273:C279&lt;&gt;""),0),0)),C279)</f>
        <v>BOS Base</v>
      </c>
      <c r="V279" s="180">
        <f t="shared" si="25"/>
        <v>0.85716289508135401</v>
      </c>
      <c r="W279" s="182">
        <v>20000</v>
      </c>
      <c r="X279" s="180"/>
      <c r="Y279" s="180">
        <f t="shared" si="26"/>
        <v>18333</v>
      </c>
      <c r="Z279" s="181"/>
    </row>
    <row r="280" spans="1:26" ht="25" customHeight="1" outlineLevel="1" x14ac:dyDescent="0.35">
      <c r="B280" s="125"/>
      <c r="C280" s="125"/>
      <c r="D280" s="125"/>
      <c r="E280" s="3" t="s">
        <v>114</v>
      </c>
      <c r="F280" s="31"/>
      <c r="G280" s="35"/>
      <c r="H280" s="57" t="str">
        <f t="shared" si="22"/>
        <v/>
      </c>
      <c r="I280" s="57" t="str">
        <f t="shared" si="23"/>
        <v/>
      </c>
      <c r="J280" s="58" t="str">
        <f t="shared" si="24"/>
        <v/>
      </c>
      <c r="K280" s="3"/>
      <c r="L280" s="42"/>
      <c r="U280" s="179" t="str" cm="1">
        <f t="array" ref="U280">IF(C280="",INDEX(C274:C280,MATCH(TRUE,INDEX((C274:C280&lt;&gt;""),0),0)),C280)</f>
        <v>BOS Base</v>
      </c>
      <c r="V280" s="180">
        <f t="shared" si="25"/>
        <v>0.85716289508135401</v>
      </c>
      <c r="W280" s="182">
        <v>20000</v>
      </c>
      <c r="X280" s="180"/>
      <c r="Y280" s="180">
        <f t="shared" si="26"/>
        <v>18333</v>
      </c>
      <c r="Z280" s="181"/>
    </row>
    <row r="281" spans="1:26" ht="25" customHeight="1" outlineLevel="1" x14ac:dyDescent="0.35">
      <c r="B281" s="125"/>
      <c r="C281" s="125"/>
      <c r="D281" s="125"/>
      <c r="E281" s="3" t="s">
        <v>110</v>
      </c>
      <c r="F281" s="31"/>
      <c r="G281" s="35"/>
      <c r="H281" s="57" t="str">
        <f t="shared" si="22"/>
        <v/>
      </c>
      <c r="I281" s="57" t="str">
        <f t="shared" si="23"/>
        <v/>
      </c>
      <c r="J281" s="58" t="str">
        <f t="shared" si="24"/>
        <v/>
      </c>
      <c r="K281" s="3"/>
      <c r="L281" s="42"/>
      <c r="U281" s="179" t="str" cm="1">
        <f t="array" ref="U281">IF(C281="",INDEX(C275:C281,MATCH(TRUE,INDEX((C275:C281&lt;&gt;""),0),0)),C281)</f>
        <v>BOS Base</v>
      </c>
      <c r="V281" s="180">
        <f t="shared" si="25"/>
        <v>0.85716289508135401</v>
      </c>
      <c r="W281" s="182">
        <v>20000</v>
      </c>
      <c r="X281" s="180"/>
      <c r="Y281" s="180">
        <f t="shared" si="26"/>
        <v>18333</v>
      </c>
      <c r="Z281" s="181"/>
    </row>
    <row r="282" spans="1:26" ht="25" customHeight="1" outlineLevel="1" x14ac:dyDescent="0.35">
      <c r="B282" s="126"/>
      <c r="C282" s="126"/>
      <c r="D282" s="126"/>
      <c r="E282" s="4" t="s">
        <v>14</v>
      </c>
      <c r="F282" s="31" t="s">
        <v>21</v>
      </c>
      <c r="G282" s="39"/>
      <c r="H282" s="65" t="str">
        <f t="shared" ref="H282:H345" si="27">IF(F282="Done", V282*VLOOKUP(E282, $AB$3:$AC$11, 2, FALSE), "")</f>
        <v/>
      </c>
      <c r="I282" s="65" t="str">
        <f t="shared" ref="I282:I345" si="28">IF(F282="Done", V282*VLOOKUP(E282, $AB$3:$AD$11, 3, FALSE), "")</f>
        <v/>
      </c>
      <c r="J282" s="66" t="str">
        <f t="shared" ref="J282:J345" si="29">IF(F282="Done", V282*VLOOKUP(E282, $AB$3:$AE$11, 4, FALSE), "")</f>
        <v/>
      </c>
      <c r="K282" s="4"/>
      <c r="L282" s="43"/>
      <c r="U282" s="179" t="str" cm="1">
        <f t="array" ref="U282">IF(C282="",INDEX(C276:C282,MATCH(TRUE,INDEX((C276:C282&lt;&gt;""),0),0)),C282)</f>
        <v>BOS Base</v>
      </c>
      <c r="V282" s="180">
        <f t="shared" si="25"/>
        <v>0.85716289508135401</v>
      </c>
      <c r="W282" s="182">
        <v>20000</v>
      </c>
      <c r="X282" s="180"/>
      <c r="Y282" s="180">
        <f t="shared" si="26"/>
        <v>18333</v>
      </c>
      <c r="Z282" s="181"/>
    </row>
    <row r="283" spans="1:26" ht="30" customHeight="1" x14ac:dyDescent="0.35">
      <c r="A283" s="8" t="s">
        <v>140</v>
      </c>
      <c r="B283" s="121">
        <v>48</v>
      </c>
      <c r="C283" s="121" t="s">
        <v>77</v>
      </c>
      <c r="D283" s="121" t="s">
        <v>72</v>
      </c>
      <c r="E283" s="27" t="s">
        <v>106</v>
      </c>
      <c r="F283" s="32"/>
      <c r="G283" s="37"/>
      <c r="H283" s="61" t="str">
        <f t="shared" si="27"/>
        <v/>
      </c>
      <c r="I283" s="61" t="str">
        <f t="shared" si="28"/>
        <v/>
      </c>
      <c r="J283" s="62" t="str">
        <f t="shared" si="29"/>
        <v/>
      </c>
      <c r="K283" s="6"/>
      <c r="L283" s="44"/>
      <c r="U283" s="179" t="str" cm="1">
        <f t="array" ref="U283">IF(C283="",INDEX(C277:C283,MATCH(TRUE,INDEX((C277:C283&lt;&gt;""),0),0)),C283)</f>
        <v>BOS Patience</v>
      </c>
      <c r="V283" s="180">
        <f t="shared" si="25"/>
        <v>1.1714512810922013</v>
      </c>
      <c r="W283" s="182">
        <v>20000</v>
      </c>
      <c r="X283" s="180"/>
      <c r="Y283" s="180">
        <f t="shared" si="26"/>
        <v>25055</v>
      </c>
      <c r="Z283" s="181"/>
    </row>
    <row r="284" spans="1:26" ht="25" customHeight="1" outlineLevel="1" x14ac:dyDescent="0.35">
      <c r="B284" s="122"/>
      <c r="C284" s="122"/>
      <c r="D284" s="122"/>
      <c r="E284" s="6" t="s">
        <v>13</v>
      </c>
      <c r="F284" s="32" t="s">
        <v>17</v>
      </c>
      <c r="G284" s="37">
        <v>43101</v>
      </c>
      <c r="H284" s="61">
        <f t="shared" si="27"/>
        <v>14057.415373106416</v>
      </c>
      <c r="I284" s="61">
        <f t="shared" si="28"/>
        <v>3748.6440994950444</v>
      </c>
      <c r="J284" s="62">
        <f t="shared" si="29"/>
        <v>74.972881989900884</v>
      </c>
      <c r="K284" s="6"/>
      <c r="L284" s="45"/>
      <c r="U284" s="179" t="str" cm="1">
        <f t="array" ref="U284">IF(C284="",INDEX(C278:C284,MATCH(TRUE,INDEX((C278:C284&lt;&gt;""),0),0)),C284)</f>
        <v>BOS Patience</v>
      </c>
      <c r="V284" s="180">
        <f t="shared" si="25"/>
        <v>1.1714512810922013</v>
      </c>
      <c r="W284" s="182">
        <v>20000</v>
      </c>
      <c r="X284" s="180"/>
      <c r="Y284" s="180">
        <f t="shared" si="26"/>
        <v>25055</v>
      </c>
      <c r="Z284" s="181"/>
    </row>
    <row r="285" spans="1:26" ht="25" customHeight="1" outlineLevel="1" x14ac:dyDescent="0.35">
      <c r="B285" s="122"/>
      <c r="C285" s="122"/>
      <c r="D285" s="122"/>
      <c r="E285" s="6" t="s">
        <v>114</v>
      </c>
      <c r="F285" s="32" t="s">
        <v>21</v>
      </c>
      <c r="G285" s="37"/>
      <c r="H285" s="61" t="str">
        <f t="shared" si="27"/>
        <v/>
      </c>
      <c r="I285" s="61" t="str">
        <f t="shared" si="28"/>
        <v/>
      </c>
      <c r="J285" s="62" t="str">
        <f t="shared" si="29"/>
        <v/>
      </c>
      <c r="K285" s="6"/>
      <c r="L285" s="45"/>
      <c r="U285" s="179" t="str" cm="1">
        <f t="array" ref="U285">IF(C285="",INDEX(C279:C285,MATCH(TRUE,INDEX((C279:C285&lt;&gt;""),0),0)),C285)</f>
        <v>BOS Patience</v>
      </c>
      <c r="V285" s="180">
        <f t="shared" si="25"/>
        <v>1.1714512810922013</v>
      </c>
      <c r="W285" s="182">
        <v>20000</v>
      </c>
      <c r="X285" s="180"/>
      <c r="Y285" s="180">
        <f t="shared" si="26"/>
        <v>25055</v>
      </c>
      <c r="Z285" s="181"/>
    </row>
    <row r="286" spans="1:26" ht="25" customHeight="1" outlineLevel="1" x14ac:dyDescent="0.35">
      <c r="B286" s="122"/>
      <c r="C286" s="122"/>
      <c r="D286" s="122"/>
      <c r="E286" s="6" t="s">
        <v>113</v>
      </c>
      <c r="F286" s="32" t="s">
        <v>21</v>
      </c>
      <c r="G286" s="37">
        <v>43101</v>
      </c>
      <c r="H286" s="61" t="str">
        <f>IF(F286="Done", V286*VLOOKUP(E286, $AB$3:$AC$11, 2, FALSE), "")</f>
        <v/>
      </c>
      <c r="I286" s="61" t="str">
        <f>IF(F286="Done", V286*VLOOKUP(E286, $AB$3:$AD$11, 3, FALSE), "")</f>
        <v/>
      </c>
      <c r="J286" s="62" t="str">
        <f>IF(F286="Done", V286*VLOOKUP(E286, $AB$3:$AE$11, 4, FALSE), "")</f>
        <v/>
      </c>
      <c r="K286" s="6"/>
      <c r="L286" s="45" t="s">
        <v>169</v>
      </c>
      <c r="U286" s="179" t="str" cm="1">
        <f t="array" ref="U286">IF(C286="",INDEX(C280:C286,MATCH(TRUE,INDEX((C280:C286&lt;&gt;""),0),0)),C286)</f>
        <v>BOS Patience</v>
      </c>
      <c r="V286" s="180">
        <f t="shared" si="25"/>
        <v>1.1714512810922013</v>
      </c>
      <c r="W286" s="182">
        <v>20000</v>
      </c>
      <c r="X286" s="180"/>
      <c r="Y286" s="180">
        <f t="shared" si="26"/>
        <v>25055</v>
      </c>
      <c r="Z286" s="181"/>
    </row>
    <row r="287" spans="1:26" ht="25" customHeight="1" outlineLevel="1" x14ac:dyDescent="0.35">
      <c r="B287" s="122"/>
      <c r="C287" s="122"/>
      <c r="D287" s="122"/>
      <c r="E287" s="6" t="s">
        <v>110</v>
      </c>
      <c r="F287" s="32" t="s">
        <v>17</v>
      </c>
      <c r="G287" s="37">
        <v>44562</v>
      </c>
      <c r="H287" s="61">
        <f>IF(F287="Done", V287*VLOOKUP(E287, $AB$3:$AC$11, 2, FALSE), "")</f>
        <v>9723.0456330652705</v>
      </c>
      <c r="I287" s="61">
        <f>IF(F287="Done", V287*VLOOKUP(E287, $AB$3:$AD$11, 3, FALSE), "")</f>
        <v>1171.4512810922013</v>
      </c>
      <c r="J287" s="62">
        <f>IF(F287="Done", V287*VLOOKUP(E287, $AB$3:$AE$11, 4, FALSE), "")</f>
        <v>52.715307649149061</v>
      </c>
      <c r="K287" s="6"/>
      <c r="L287" s="45" t="s">
        <v>170</v>
      </c>
      <c r="U287" s="179" t="str" cm="1">
        <f t="array" ref="U287">IF(C287="",INDEX(C281:C287,MATCH(TRUE,INDEX((C281:C287&lt;&gt;""),0),0)),C287)</f>
        <v>BOS Patience</v>
      </c>
      <c r="V287" s="180">
        <f t="shared" si="25"/>
        <v>1.1714512810922013</v>
      </c>
      <c r="W287" s="182">
        <v>20000</v>
      </c>
      <c r="X287" s="180"/>
      <c r="Y287" s="180">
        <f t="shared" si="26"/>
        <v>25055</v>
      </c>
      <c r="Z287" s="181"/>
    </row>
    <row r="288" spans="1:26" ht="25" customHeight="1" outlineLevel="1" x14ac:dyDescent="0.35">
      <c r="B288" s="123"/>
      <c r="C288" s="123"/>
      <c r="D288" s="123"/>
      <c r="E288" s="7" t="s">
        <v>14</v>
      </c>
      <c r="F288" s="32" t="s">
        <v>21</v>
      </c>
      <c r="G288" s="37"/>
      <c r="H288" s="61" t="str">
        <f t="shared" si="27"/>
        <v/>
      </c>
      <c r="I288" s="61" t="str">
        <f t="shared" si="28"/>
        <v/>
      </c>
      <c r="J288" s="62" t="str">
        <f t="shared" si="29"/>
        <v/>
      </c>
      <c r="K288" s="6"/>
      <c r="L288" s="46"/>
      <c r="U288" s="179" t="str" cm="1">
        <f t="array" ref="U288">IF(C288="",INDEX(C282:C288,MATCH(TRUE,INDEX((C282:C288&lt;&gt;""),0),0)),C288)</f>
        <v>BOS Patience</v>
      </c>
      <c r="V288" s="180">
        <f t="shared" si="25"/>
        <v>1.1714512810922013</v>
      </c>
      <c r="W288" s="182">
        <v>20000</v>
      </c>
      <c r="X288" s="180"/>
      <c r="Y288" s="180">
        <f t="shared" si="26"/>
        <v>25055</v>
      </c>
      <c r="Z288" s="181"/>
    </row>
    <row r="289" spans="1:26" ht="30" customHeight="1" x14ac:dyDescent="0.35">
      <c r="B289" s="124">
        <v>49</v>
      </c>
      <c r="C289" s="124" t="s">
        <v>78</v>
      </c>
      <c r="D289" s="124" t="s">
        <v>72</v>
      </c>
      <c r="E289" s="26" t="s">
        <v>106</v>
      </c>
      <c r="F289" s="31"/>
      <c r="G289" s="34"/>
      <c r="H289" s="55" t="str">
        <f t="shared" si="27"/>
        <v/>
      </c>
      <c r="I289" s="55" t="str">
        <f t="shared" si="28"/>
        <v/>
      </c>
      <c r="J289" s="56" t="str">
        <f t="shared" si="29"/>
        <v/>
      </c>
      <c r="K289" s="2"/>
      <c r="L289" s="41"/>
      <c r="U289" s="179" t="str" cm="1">
        <f t="array" ref="U289">IF(C289="",INDEX(C283:C289,MATCH(TRUE,INDEX((C283:C289&lt;&gt;""),0),0)),C289)</f>
        <v>BOS Patriot</v>
      </c>
      <c r="V289" s="180">
        <f t="shared" si="25"/>
        <v>1.1714512810922013</v>
      </c>
      <c r="W289" s="182">
        <v>20000</v>
      </c>
      <c r="X289" s="180"/>
      <c r="Y289" s="180">
        <f t="shared" si="26"/>
        <v>25055</v>
      </c>
      <c r="Z289" s="181"/>
    </row>
    <row r="290" spans="1:26" ht="25" customHeight="1" outlineLevel="1" x14ac:dyDescent="0.35">
      <c r="B290" s="125"/>
      <c r="C290" s="125"/>
      <c r="D290" s="125"/>
      <c r="E290" s="3" t="s">
        <v>13</v>
      </c>
      <c r="F290" s="31"/>
      <c r="G290" s="35"/>
      <c r="H290" s="57" t="str">
        <f t="shared" si="27"/>
        <v/>
      </c>
      <c r="I290" s="57" t="str">
        <f t="shared" si="28"/>
        <v/>
      </c>
      <c r="J290" s="58" t="str">
        <f t="shared" si="29"/>
        <v/>
      </c>
      <c r="K290" s="3"/>
      <c r="L290" s="42"/>
      <c r="U290" s="179" t="str" cm="1">
        <f t="array" ref="U290">IF(C290="",INDEX(C284:C290,MATCH(TRUE,INDEX((C284:C290&lt;&gt;""),0),0)),C290)</f>
        <v>BOS Patriot</v>
      </c>
      <c r="V290" s="180">
        <f t="shared" si="25"/>
        <v>1.1714512810922013</v>
      </c>
      <c r="W290" s="182">
        <v>20000</v>
      </c>
      <c r="X290" s="180"/>
      <c r="Y290" s="180">
        <f t="shared" si="26"/>
        <v>25055</v>
      </c>
      <c r="Z290" s="181"/>
    </row>
    <row r="291" spans="1:26" ht="25" customHeight="1" outlineLevel="1" x14ac:dyDescent="0.35">
      <c r="B291" s="125"/>
      <c r="C291" s="125"/>
      <c r="D291" s="125"/>
      <c r="E291" s="3" t="s">
        <v>114</v>
      </c>
      <c r="F291" s="31"/>
      <c r="G291" s="35"/>
      <c r="H291" s="57" t="str">
        <f t="shared" si="27"/>
        <v/>
      </c>
      <c r="I291" s="57" t="str">
        <f t="shared" si="28"/>
        <v/>
      </c>
      <c r="J291" s="58" t="str">
        <f t="shared" si="29"/>
        <v/>
      </c>
      <c r="K291" s="3"/>
      <c r="L291" s="42"/>
      <c r="U291" s="179" t="str" cm="1">
        <f t="array" ref="U291">IF(C291="",INDEX(C285:C291,MATCH(TRUE,INDEX((C285:C291&lt;&gt;""),0),0)),C291)</f>
        <v>BOS Patriot</v>
      </c>
      <c r="V291" s="180">
        <f t="shared" si="25"/>
        <v>1.1714512810922013</v>
      </c>
      <c r="W291" s="182">
        <v>20000</v>
      </c>
      <c r="X291" s="180"/>
      <c r="Y291" s="180">
        <f t="shared" si="26"/>
        <v>25055</v>
      </c>
      <c r="Z291" s="181"/>
    </row>
    <row r="292" spans="1:26" ht="25" customHeight="1" outlineLevel="1" x14ac:dyDescent="0.35">
      <c r="B292" s="125"/>
      <c r="C292" s="125"/>
      <c r="D292" s="125"/>
      <c r="E292" s="3" t="s">
        <v>113</v>
      </c>
      <c r="F292" s="31"/>
      <c r="G292" s="35"/>
      <c r="H292" s="57" t="str">
        <f t="shared" si="27"/>
        <v/>
      </c>
      <c r="I292" s="57" t="str">
        <f t="shared" si="28"/>
        <v/>
      </c>
      <c r="J292" s="58" t="str">
        <f t="shared" si="29"/>
        <v/>
      </c>
      <c r="K292" s="3"/>
      <c r="L292" s="42"/>
      <c r="U292" s="179" t="str" cm="1">
        <f t="array" ref="U292">IF(C292="",INDEX(C286:C292,MATCH(TRUE,INDEX((C286:C292&lt;&gt;""),0),0)),C292)</f>
        <v>BOS Patriot</v>
      </c>
      <c r="V292" s="180">
        <f t="shared" si="25"/>
        <v>1.1714512810922013</v>
      </c>
      <c r="W292" s="182">
        <v>20000</v>
      </c>
      <c r="X292" s="180"/>
      <c r="Y292" s="180">
        <f t="shared" si="26"/>
        <v>25055</v>
      </c>
      <c r="Z292" s="181"/>
    </row>
    <row r="293" spans="1:26" ht="25" customHeight="1" outlineLevel="1" x14ac:dyDescent="0.35">
      <c r="B293" s="125"/>
      <c r="C293" s="125"/>
      <c r="D293" s="125"/>
      <c r="E293" s="3" t="s">
        <v>110</v>
      </c>
      <c r="F293" s="31"/>
      <c r="G293" s="35"/>
      <c r="H293" s="57" t="str">
        <f t="shared" si="27"/>
        <v/>
      </c>
      <c r="I293" s="57" t="str">
        <f t="shared" si="28"/>
        <v/>
      </c>
      <c r="J293" s="58" t="str">
        <f t="shared" si="29"/>
        <v/>
      </c>
      <c r="K293" s="3"/>
      <c r="L293" s="42"/>
      <c r="U293" s="179" t="str" cm="1">
        <f t="array" ref="U293">IF(C293="",INDEX(C287:C293,MATCH(TRUE,INDEX((C287:C293&lt;&gt;""),0),0)),C293)</f>
        <v>BOS Patriot</v>
      </c>
      <c r="V293" s="180">
        <f t="shared" si="25"/>
        <v>1.1714512810922013</v>
      </c>
      <c r="W293" s="182">
        <v>20000</v>
      </c>
      <c r="X293" s="180"/>
      <c r="Y293" s="180">
        <f t="shared" si="26"/>
        <v>25055</v>
      </c>
      <c r="Z293" s="181"/>
    </row>
    <row r="294" spans="1:26" ht="25" customHeight="1" outlineLevel="1" x14ac:dyDescent="0.35">
      <c r="B294" s="126"/>
      <c r="C294" s="126"/>
      <c r="D294" s="126"/>
      <c r="E294" s="4" t="s">
        <v>14</v>
      </c>
      <c r="F294" s="31" t="s">
        <v>21</v>
      </c>
      <c r="G294" s="39"/>
      <c r="H294" s="65" t="str">
        <f t="shared" si="27"/>
        <v/>
      </c>
      <c r="I294" s="65" t="str">
        <f t="shared" si="28"/>
        <v/>
      </c>
      <c r="J294" s="66" t="str">
        <f t="shared" si="29"/>
        <v/>
      </c>
      <c r="K294" s="4"/>
      <c r="L294" s="43"/>
      <c r="U294" s="179" t="str" cm="1">
        <f t="array" ref="U294">IF(C294="",INDEX(C288:C294,MATCH(TRUE,INDEX((C288:C294&lt;&gt;""),0),0)),C294)</f>
        <v>BOS Patriot</v>
      </c>
      <c r="V294" s="180">
        <f t="shared" si="25"/>
        <v>1.1714512810922013</v>
      </c>
      <c r="W294" s="182">
        <v>20000</v>
      </c>
      <c r="X294" s="180"/>
      <c r="Y294" s="180">
        <f t="shared" si="26"/>
        <v>25055</v>
      </c>
      <c r="Z294" s="181"/>
    </row>
    <row r="295" spans="1:26" ht="30" customHeight="1" x14ac:dyDescent="0.35">
      <c r="B295" s="121">
        <v>50</v>
      </c>
      <c r="C295" s="121" t="s">
        <v>79</v>
      </c>
      <c r="D295" s="121" t="s">
        <v>72</v>
      </c>
      <c r="E295" s="27" t="s">
        <v>106</v>
      </c>
      <c r="F295" s="32"/>
      <c r="G295" s="37"/>
      <c r="H295" s="61" t="str">
        <f t="shared" si="27"/>
        <v/>
      </c>
      <c r="I295" s="61" t="str">
        <f t="shared" si="28"/>
        <v/>
      </c>
      <c r="J295" s="62" t="str">
        <f t="shared" si="29"/>
        <v/>
      </c>
      <c r="K295" s="6"/>
      <c r="L295" s="44"/>
      <c r="U295" s="179" t="str" cm="1">
        <f t="array" ref="U295">IF(C295="",INDEX(C289:C295,MATCH(TRUE,INDEX((C289:C295&lt;&gt;""),0),0)),C295)</f>
        <v>BOS Precious</v>
      </c>
      <c r="V295" s="180">
        <f t="shared" si="25"/>
        <v>0.92860482513559006</v>
      </c>
      <c r="W295" s="182">
        <v>20000</v>
      </c>
      <c r="X295" s="180"/>
      <c r="Y295" s="180">
        <f t="shared" si="26"/>
        <v>19861</v>
      </c>
      <c r="Z295" s="181"/>
    </row>
    <row r="296" spans="1:26" ht="25" customHeight="1" outlineLevel="1" x14ac:dyDescent="0.35">
      <c r="B296" s="122"/>
      <c r="C296" s="122"/>
      <c r="D296" s="122"/>
      <c r="E296" s="6" t="s">
        <v>13</v>
      </c>
      <c r="F296" s="32"/>
      <c r="G296" s="37"/>
      <c r="H296" s="61" t="str">
        <f t="shared" si="27"/>
        <v/>
      </c>
      <c r="I296" s="61" t="str">
        <f t="shared" si="28"/>
        <v/>
      </c>
      <c r="J296" s="62" t="str">
        <f t="shared" si="29"/>
        <v/>
      </c>
      <c r="K296" s="6"/>
      <c r="L296" s="45"/>
      <c r="U296" s="179" t="str" cm="1">
        <f t="array" ref="U296">IF(C296="",INDEX(C290:C296,MATCH(TRUE,INDEX((C290:C296&lt;&gt;""),0),0)),C296)</f>
        <v>BOS Precious</v>
      </c>
      <c r="V296" s="180">
        <f t="shared" si="25"/>
        <v>0.92860482513559006</v>
      </c>
      <c r="W296" s="182">
        <v>20000</v>
      </c>
      <c r="X296" s="180"/>
      <c r="Y296" s="180">
        <f t="shared" si="26"/>
        <v>19861</v>
      </c>
      <c r="Z296" s="181"/>
    </row>
    <row r="297" spans="1:26" ht="25" customHeight="1" outlineLevel="1" x14ac:dyDescent="0.35">
      <c r="B297" s="122"/>
      <c r="C297" s="122"/>
      <c r="D297" s="122"/>
      <c r="E297" s="6" t="s">
        <v>114</v>
      </c>
      <c r="F297" s="32"/>
      <c r="G297" s="37"/>
      <c r="H297" s="61" t="str">
        <f t="shared" si="27"/>
        <v/>
      </c>
      <c r="I297" s="61" t="str">
        <f t="shared" si="28"/>
        <v/>
      </c>
      <c r="J297" s="62" t="str">
        <f t="shared" si="29"/>
        <v/>
      </c>
      <c r="K297" s="6"/>
      <c r="L297" s="45"/>
      <c r="U297" s="179" t="str" cm="1">
        <f t="array" ref="U297">IF(C297="",INDEX(C291:C297,MATCH(TRUE,INDEX((C291:C297&lt;&gt;""),0),0)),C297)</f>
        <v>BOS Precious</v>
      </c>
      <c r="V297" s="180">
        <f t="shared" si="25"/>
        <v>0.92860482513559006</v>
      </c>
      <c r="W297" s="182">
        <v>20000</v>
      </c>
      <c r="X297" s="180"/>
      <c r="Y297" s="180">
        <f t="shared" si="26"/>
        <v>19861</v>
      </c>
      <c r="Z297" s="181"/>
    </row>
    <row r="298" spans="1:26" ht="25" customHeight="1" outlineLevel="1" x14ac:dyDescent="0.35">
      <c r="B298" s="122"/>
      <c r="C298" s="122"/>
      <c r="D298" s="122"/>
      <c r="E298" s="6" t="s">
        <v>113</v>
      </c>
      <c r="F298" s="32"/>
      <c r="G298" s="37"/>
      <c r="H298" s="61" t="str">
        <f t="shared" si="27"/>
        <v/>
      </c>
      <c r="I298" s="61" t="str">
        <f t="shared" si="28"/>
        <v/>
      </c>
      <c r="J298" s="62" t="str">
        <f t="shared" si="29"/>
        <v/>
      </c>
      <c r="K298" s="6"/>
      <c r="L298" s="45"/>
      <c r="U298" s="179" t="str" cm="1">
        <f t="array" ref="U298">IF(C298="",INDEX(C292:C298,MATCH(TRUE,INDEX((C292:C298&lt;&gt;""),0),0)),C298)</f>
        <v>BOS Precious</v>
      </c>
      <c r="V298" s="180">
        <f t="shared" si="25"/>
        <v>0.92860482513559006</v>
      </c>
      <c r="W298" s="182">
        <v>20000</v>
      </c>
      <c r="X298" s="180"/>
      <c r="Y298" s="180">
        <f t="shared" si="26"/>
        <v>19861</v>
      </c>
      <c r="Z298" s="181"/>
    </row>
    <row r="299" spans="1:26" ht="25" customHeight="1" outlineLevel="1" x14ac:dyDescent="0.35">
      <c r="B299" s="122"/>
      <c r="C299" s="122"/>
      <c r="D299" s="122"/>
      <c r="E299" s="6" t="s">
        <v>110</v>
      </c>
      <c r="F299" s="32"/>
      <c r="G299" s="37"/>
      <c r="H299" s="61" t="str">
        <f t="shared" si="27"/>
        <v/>
      </c>
      <c r="I299" s="61" t="str">
        <f t="shared" si="28"/>
        <v/>
      </c>
      <c r="J299" s="62" t="str">
        <f t="shared" si="29"/>
        <v/>
      </c>
      <c r="K299" s="6"/>
      <c r="L299" s="45"/>
      <c r="U299" s="179" t="str" cm="1">
        <f t="array" ref="U299">IF(C299="",INDEX(C293:C299,MATCH(TRUE,INDEX((C293:C299&lt;&gt;""),0),0)),C299)</f>
        <v>BOS Precious</v>
      </c>
      <c r="V299" s="180">
        <f t="shared" si="25"/>
        <v>0.92860482513559006</v>
      </c>
      <c r="W299" s="182">
        <v>20000</v>
      </c>
      <c r="X299" s="180"/>
      <c r="Y299" s="180">
        <f t="shared" si="26"/>
        <v>19861</v>
      </c>
      <c r="Z299" s="181"/>
    </row>
    <row r="300" spans="1:26" ht="25" customHeight="1" outlineLevel="1" x14ac:dyDescent="0.35">
      <c r="B300" s="123"/>
      <c r="C300" s="123"/>
      <c r="D300" s="123"/>
      <c r="E300" s="7" t="s">
        <v>14</v>
      </c>
      <c r="F300" s="32" t="s">
        <v>21</v>
      </c>
      <c r="G300" s="37"/>
      <c r="H300" s="61" t="str">
        <f t="shared" si="27"/>
        <v/>
      </c>
      <c r="I300" s="61" t="str">
        <f t="shared" si="28"/>
        <v/>
      </c>
      <c r="J300" s="62" t="str">
        <f t="shared" si="29"/>
        <v/>
      </c>
      <c r="K300" s="6"/>
      <c r="L300" s="46"/>
      <c r="U300" s="179" t="str" cm="1">
        <f t="array" ref="U300">IF(C300="",INDEX(C294:C300,MATCH(TRUE,INDEX((C294:C300&lt;&gt;""),0),0)),C300)</f>
        <v>BOS Precious</v>
      </c>
      <c r="V300" s="180">
        <f t="shared" si="25"/>
        <v>0.92860482513559006</v>
      </c>
      <c r="W300" s="182">
        <v>20000</v>
      </c>
      <c r="X300" s="180"/>
      <c r="Y300" s="180">
        <f t="shared" si="26"/>
        <v>19861</v>
      </c>
      <c r="Z300" s="181"/>
    </row>
    <row r="301" spans="1:26" ht="30" customHeight="1" x14ac:dyDescent="0.35">
      <c r="A301" s="8" t="s">
        <v>140</v>
      </c>
      <c r="B301" s="124">
        <v>51</v>
      </c>
      <c r="C301" s="124" t="s">
        <v>80</v>
      </c>
      <c r="D301" s="124" t="s">
        <v>72</v>
      </c>
      <c r="E301" s="26" t="s">
        <v>106</v>
      </c>
      <c r="F301" s="31"/>
      <c r="G301" s="34"/>
      <c r="H301" s="55" t="str">
        <f t="shared" si="27"/>
        <v/>
      </c>
      <c r="I301" s="55" t="str">
        <f t="shared" si="28"/>
        <v/>
      </c>
      <c r="J301" s="56" t="str">
        <f t="shared" si="29"/>
        <v/>
      </c>
      <c r="K301" s="2"/>
      <c r="L301" s="41"/>
      <c r="U301" s="179" t="str" cm="1">
        <f t="array" ref="U301">IF(C301="",INDEX(C295:C301,MATCH(TRUE,INDEX((C295:C301&lt;&gt;""),0),0)),C301)</f>
        <v>BOS Prelude</v>
      </c>
      <c r="V301" s="180">
        <f t="shared" si="25"/>
        <v>0.92860482513559006</v>
      </c>
      <c r="W301" s="182">
        <v>20000</v>
      </c>
      <c r="X301" s="180"/>
      <c r="Y301" s="180">
        <f t="shared" si="26"/>
        <v>19861</v>
      </c>
      <c r="Z301" s="181"/>
    </row>
    <row r="302" spans="1:26" ht="25" customHeight="1" outlineLevel="1" x14ac:dyDescent="0.35">
      <c r="B302" s="125"/>
      <c r="C302" s="125"/>
      <c r="D302" s="125"/>
      <c r="E302" s="3" t="s">
        <v>13</v>
      </c>
      <c r="F302" s="31" t="s">
        <v>17</v>
      </c>
      <c r="G302" s="35"/>
      <c r="H302" s="57">
        <f t="shared" si="27"/>
        <v>11143.257901627081</v>
      </c>
      <c r="I302" s="57">
        <f t="shared" si="28"/>
        <v>2971.5354404338882</v>
      </c>
      <c r="J302" s="58">
        <f t="shared" si="29"/>
        <v>59.430708808677764</v>
      </c>
      <c r="K302" s="3"/>
      <c r="L302" s="42"/>
      <c r="U302" s="179" t="str" cm="1">
        <f t="array" ref="U302">IF(C302="",INDEX(C296:C302,MATCH(TRUE,INDEX((C296:C302&lt;&gt;""),0),0)),C302)</f>
        <v>BOS Prelude</v>
      </c>
      <c r="V302" s="180">
        <f t="shared" si="25"/>
        <v>0.92860482513559006</v>
      </c>
      <c r="W302" s="182">
        <v>20000</v>
      </c>
      <c r="X302" s="180"/>
      <c r="Y302" s="180">
        <f t="shared" si="26"/>
        <v>19861</v>
      </c>
      <c r="Z302" s="181"/>
    </row>
    <row r="303" spans="1:26" ht="25" customHeight="1" outlineLevel="1" x14ac:dyDescent="0.35">
      <c r="B303" s="125"/>
      <c r="C303" s="125"/>
      <c r="D303" s="125"/>
      <c r="E303" s="3" t="s">
        <v>114</v>
      </c>
      <c r="F303" s="31" t="s">
        <v>21</v>
      </c>
      <c r="G303" s="35"/>
      <c r="H303" s="57" t="str">
        <f t="shared" si="27"/>
        <v/>
      </c>
      <c r="I303" s="57" t="str">
        <f t="shared" si="28"/>
        <v/>
      </c>
      <c r="J303" s="58" t="str">
        <f t="shared" si="29"/>
        <v/>
      </c>
      <c r="K303" s="3"/>
      <c r="L303" s="42"/>
      <c r="U303" s="179" t="str" cm="1">
        <f t="array" ref="U303">IF(C303="",INDEX(C297:C303,MATCH(TRUE,INDEX((C297:C303&lt;&gt;""),0),0)),C303)</f>
        <v>BOS Prelude</v>
      </c>
      <c r="V303" s="180">
        <f t="shared" si="25"/>
        <v>0.92860482513559006</v>
      </c>
      <c r="W303" s="182">
        <v>20000</v>
      </c>
      <c r="X303" s="180"/>
      <c r="Y303" s="180">
        <f t="shared" si="26"/>
        <v>19861</v>
      </c>
      <c r="Z303" s="181"/>
    </row>
    <row r="304" spans="1:26" ht="25" customHeight="1" outlineLevel="1" x14ac:dyDescent="0.35">
      <c r="B304" s="125"/>
      <c r="C304" s="125"/>
      <c r="D304" s="125"/>
      <c r="E304" s="3" t="s">
        <v>113</v>
      </c>
      <c r="F304" s="31" t="s">
        <v>21</v>
      </c>
      <c r="G304" s="35"/>
      <c r="H304" s="57" t="str">
        <f t="shared" si="27"/>
        <v/>
      </c>
      <c r="I304" s="57" t="str">
        <f t="shared" si="28"/>
        <v/>
      </c>
      <c r="J304" s="58" t="str">
        <f t="shared" si="29"/>
        <v/>
      </c>
      <c r="K304" s="3"/>
      <c r="L304" s="42" t="s">
        <v>177</v>
      </c>
      <c r="U304" s="179" t="str" cm="1">
        <f t="array" ref="U304">IF(C304="",INDEX(C298:C304,MATCH(TRUE,INDEX((C298:C304&lt;&gt;""),0),0)),C304)</f>
        <v>BOS Prelude</v>
      </c>
      <c r="V304" s="180">
        <f t="shared" si="25"/>
        <v>0.92860482513559006</v>
      </c>
      <c r="W304" s="182">
        <v>20000</v>
      </c>
      <c r="X304" s="180"/>
      <c r="Y304" s="180">
        <f t="shared" si="26"/>
        <v>19861</v>
      </c>
      <c r="Z304" s="181"/>
    </row>
    <row r="305" spans="1:26" ht="25" customHeight="1" outlineLevel="1" x14ac:dyDescent="0.35">
      <c r="B305" s="125"/>
      <c r="C305" s="125"/>
      <c r="D305" s="125"/>
      <c r="E305" s="3" t="s">
        <v>110</v>
      </c>
      <c r="F305" s="31" t="s">
        <v>21</v>
      </c>
      <c r="G305" s="35"/>
      <c r="H305" s="57" t="str">
        <f t="shared" si="27"/>
        <v/>
      </c>
      <c r="I305" s="57" t="str">
        <f t="shared" si="28"/>
        <v/>
      </c>
      <c r="J305" s="58" t="str">
        <f t="shared" si="29"/>
        <v/>
      </c>
      <c r="K305" s="3"/>
      <c r="L305" s="42"/>
      <c r="U305" s="179" t="str" cm="1">
        <f t="array" ref="U305">IF(C305="",INDEX(C299:C305,MATCH(TRUE,INDEX((C299:C305&lt;&gt;""),0),0)),C305)</f>
        <v>BOS Prelude</v>
      </c>
      <c r="V305" s="180">
        <f t="shared" si="25"/>
        <v>0.92860482513559006</v>
      </c>
      <c r="W305" s="182">
        <v>20000</v>
      </c>
      <c r="X305" s="180"/>
      <c r="Y305" s="180">
        <f t="shared" si="26"/>
        <v>19861</v>
      </c>
      <c r="Z305" s="181"/>
    </row>
    <row r="306" spans="1:26" ht="25" customHeight="1" outlineLevel="1" x14ac:dyDescent="0.35">
      <c r="B306" s="126"/>
      <c r="C306" s="126"/>
      <c r="D306" s="126"/>
      <c r="E306" s="4" t="s">
        <v>14</v>
      </c>
      <c r="F306" s="31" t="s">
        <v>21</v>
      </c>
      <c r="G306" s="39"/>
      <c r="H306" s="65" t="str">
        <f t="shared" si="27"/>
        <v/>
      </c>
      <c r="I306" s="65" t="str">
        <f t="shared" si="28"/>
        <v/>
      </c>
      <c r="J306" s="66" t="str">
        <f t="shared" si="29"/>
        <v/>
      </c>
      <c r="K306" s="4"/>
      <c r="L306" s="43"/>
      <c r="U306" s="179" t="str" cm="1">
        <f t="array" ref="U306">IF(C306="",INDEX(C300:C306,MATCH(TRUE,INDEX((C300:C306&lt;&gt;""),0),0)),C306)</f>
        <v>BOS Prelude</v>
      </c>
      <c r="V306" s="180">
        <f t="shared" si="25"/>
        <v>0.92860482513559006</v>
      </c>
      <c r="W306" s="182">
        <v>20000</v>
      </c>
      <c r="X306" s="180"/>
      <c r="Y306" s="180">
        <f t="shared" si="26"/>
        <v>19861</v>
      </c>
      <c r="Z306" s="181"/>
    </row>
    <row r="307" spans="1:26" ht="30" customHeight="1" x14ac:dyDescent="0.35">
      <c r="B307" s="121">
        <v>52</v>
      </c>
      <c r="C307" s="121" t="s">
        <v>81</v>
      </c>
      <c r="D307" s="121" t="s">
        <v>72</v>
      </c>
      <c r="E307" s="27" t="s">
        <v>106</v>
      </c>
      <c r="F307" s="32"/>
      <c r="G307" s="37"/>
      <c r="H307" s="61" t="str">
        <f t="shared" si="27"/>
        <v/>
      </c>
      <c r="I307" s="61" t="str">
        <f t="shared" si="28"/>
        <v/>
      </c>
      <c r="J307" s="62" t="str">
        <f t="shared" si="29"/>
        <v/>
      </c>
      <c r="K307" s="6"/>
      <c r="L307" s="44"/>
      <c r="U307" s="179" t="str" cm="1">
        <f t="array" ref="U307">IF(C307="",INDEX(C301:C307,MATCH(TRUE,INDEX((C301:C307&lt;&gt;""),0),0)),C307)</f>
        <v>BOS Prime</v>
      </c>
      <c r="V307" s="180">
        <f t="shared" si="25"/>
        <v>1</v>
      </c>
      <c r="W307" s="182">
        <v>20000</v>
      </c>
      <c r="X307" s="180"/>
      <c r="Y307" s="180">
        <f t="shared" si="26"/>
        <v>21388</v>
      </c>
      <c r="Z307" s="181"/>
    </row>
    <row r="308" spans="1:26" ht="25" customHeight="1" outlineLevel="1" x14ac:dyDescent="0.35">
      <c r="B308" s="122"/>
      <c r="C308" s="122"/>
      <c r="D308" s="122"/>
      <c r="E308" s="6" t="s">
        <v>13</v>
      </c>
      <c r="F308" s="32" t="s">
        <v>17</v>
      </c>
      <c r="G308" s="37"/>
      <c r="H308" s="61">
        <f t="shared" si="27"/>
        <v>12000</v>
      </c>
      <c r="I308" s="61">
        <f t="shared" si="28"/>
        <v>3200</v>
      </c>
      <c r="J308" s="62">
        <f t="shared" si="29"/>
        <v>64</v>
      </c>
      <c r="K308" s="6"/>
      <c r="L308" s="45"/>
      <c r="U308" s="179" t="str" cm="1">
        <f t="array" ref="U308">IF(C308="",INDEX(C302:C308,MATCH(TRUE,INDEX((C302:C308&lt;&gt;""),0),0)),C308)</f>
        <v>BOS Prime</v>
      </c>
      <c r="V308" s="180">
        <f t="shared" si="25"/>
        <v>1</v>
      </c>
      <c r="W308" s="182">
        <v>20000</v>
      </c>
      <c r="X308" s="180"/>
      <c r="Y308" s="180">
        <f t="shared" si="26"/>
        <v>21388</v>
      </c>
      <c r="Z308" s="181"/>
    </row>
    <row r="309" spans="1:26" ht="25" customHeight="1" outlineLevel="1" x14ac:dyDescent="0.35">
      <c r="B309" s="122"/>
      <c r="C309" s="122"/>
      <c r="D309" s="122"/>
      <c r="E309" s="6" t="s">
        <v>114</v>
      </c>
      <c r="F309" s="32"/>
      <c r="G309" s="37"/>
      <c r="H309" s="61" t="str">
        <f t="shared" si="27"/>
        <v/>
      </c>
      <c r="I309" s="61" t="str">
        <f t="shared" si="28"/>
        <v/>
      </c>
      <c r="J309" s="62" t="str">
        <f t="shared" si="29"/>
        <v/>
      </c>
      <c r="K309" s="6"/>
      <c r="L309" s="45"/>
      <c r="U309" s="179" t="str" cm="1">
        <f t="array" ref="U309">IF(C309="",INDEX(C303:C309,MATCH(TRUE,INDEX((C303:C309&lt;&gt;""),0),0)),C309)</f>
        <v>BOS Prime</v>
      </c>
      <c r="V309" s="180">
        <f t="shared" si="25"/>
        <v>1</v>
      </c>
      <c r="W309" s="182">
        <v>20000</v>
      </c>
      <c r="X309" s="180"/>
      <c r="Y309" s="180">
        <f t="shared" si="26"/>
        <v>21388</v>
      </c>
      <c r="Z309" s="181"/>
    </row>
    <row r="310" spans="1:26" ht="25" customHeight="1" outlineLevel="1" x14ac:dyDescent="0.35">
      <c r="B310" s="122"/>
      <c r="C310" s="122"/>
      <c r="D310" s="122"/>
      <c r="E310" s="6" t="s">
        <v>113</v>
      </c>
      <c r="F310" s="32"/>
      <c r="G310" s="37"/>
      <c r="H310" s="61" t="str">
        <f t="shared" si="27"/>
        <v/>
      </c>
      <c r="I310" s="61" t="str">
        <f t="shared" si="28"/>
        <v/>
      </c>
      <c r="J310" s="62" t="str">
        <f t="shared" si="29"/>
        <v/>
      </c>
      <c r="K310" s="6"/>
      <c r="L310" s="45"/>
      <c r="U310" s="179" t="str" cm="1">
        <f t="array" ref="U310">IF(C310="",INDEX(C304:C310,MATCH(TRUE,INDEX((C304:C310&lt;&gt;""),0),0)),C310)</f>
        <v>BOS Prime</v>
      </c>
      <c r="V310" s="180">
        <f t="shared" si="25"/>
        <v>1</v>
      </c>
      <c r="W310" s="182">
        <v>20000</v>
      </c>
      <c r="X310" s="180"/>
      <c r="Y310" s="180">
        <f t="shared" si="26"/>
        <v>21388</v>
      </c>
      <c r="Z310" s="181"/>
    </row>
    <row r="311" spans="1:26" ht="25" customHeight="1" outlineLevel="1" x14ac:dyDescent="0.35">
      <c r="B311" s="122"/>
      <c r="C311" s="122"/>
      <c r="D311" s="122"/>
      <c r="E311" s="6" t="s">
        <v>110</v>
      </c>
      <c r="F311" s="32"/>
      <c r="G311" s="37"/>
      <c r="H311" s="61" t="str">
        <f t="shared" si="27"/>
        <v/>
      </c>
      <c r="I311" s="61" t="str">
        <f t="shared" si="28"/>
        <v/>
      </c>
      <c r="J311" s="62" t="str">
        <f t="shared" si="29"/>
        <v/>
      </c>
      <c r="K311" s="6"/>
      <c r="L311" s="45"/>
      <c r="U311" s="179" t="str" cm="1">
        <f t="array" ref="U311">IF(C311="",INDEX(C305:C311,MATCH(TRUE,INDEX((C305:C311&lt;&gt;""),0),0)),C311)</f>
        <v>BOS Prime</v>
      </c>
      <c r="V311" s="180">
        <f t="shared" si="25"/>
        <v>1</v>
      </c>
      <c r="W311" s="182">
        <v>20000</v>
      </c>
      <c r="X311" s="180"/>
      <c r="Y311" s="180">
        <f t="shared" si="26"/>
        <v>21388</v>
      </c>
      <c r="Z311" s="181"/>
    </row>
    <row r="312" spans="1:26" ht="25" customHeight="1" outlineLevel="1" x14ac:dyDescent="0.35">
      <c r="B312" s="123"/>
      <c r="C312" s="123"/>
      <c r="D312" s="123"/>
      <c r="E312" s="7" t="s">
        <v>14</v>
      </c>
      <c r="F312" s="32" t="s">
        <v>17</v>
      </c>
      <c r="G312" s="37"/>
      <c r="H312" s="61">
        <f t="shared" si="27"/>
        <v>2500</v>
      </c>
      <c r="I312" s="61">
        <f t="shared" si="28"/>
        <v>3200</v>
      </c>
      <c r="J312" s="62">
        <f t="shared" si="29"/>
        <v>11</v>
      </c>
      <c r="K312" s="6"/>
      <c r="L312" s="46"/>
      <c r="U312" s="179" t="str" cm="1">
        <f t="array" ref="U312">IF(C312="",INDEX(C306:C312,MATCH(TRUE,INDEX((C306:C312&lt;&gt;""),0),0)),C312)</f>
        <v>BOS Prime</v>
      </c>
      <c r="V312" s="180">
        <f t="shared" si="25"/>
        <v>1</v>
      </c>
      <c r="W312" s="182">
        <v>20000</v>
      </c>
      <c r="X312" s="180"/>
      <c r="Y312" s="180">
        <f t="shared" si="26"/>
        <v>21388</v>
      </c>
      <c r="Z312" s="181"/>
    </row>
    <row r="313" spans="1:26" ht="30" customHeight="1" x14ac:dyDescent="0.35">
      <c r="A313" s="8" t="s">
        <v>140</v>
      </c>
      <c r="B313" s="124">
        <v>53</v>
      </c>
      <c r="C313" s="124" t="s">
        <v>82</v>
      </c>
      <c r="D313" s="124" t="s">
        <v>72</v>
      </c>
      <c r="E313" s="26" t="s">
        <v>106</v>
      </c>
      <c r="F313" s="31"/>
      <c r="G313" s="34"/>
      <c r="H313" s="55" t="str">
        <f t="shared" si="27"/>
        <v/>
      </c>
      <c r="I313" s="55" t="str">
        <f t="shared" si="28"/>
        <v/>
      </c>
      <c r="J313" s="56" t="str">
        <f t="shared" si="29"/>
        <v/>
      </c>
      <c r="K313" s="124" t="s">
        <v>147</v>
      </c>
      <c r="L313" s="41"/>
      <c r="U313" s="179" t="str" cm="1">
        <f t="array" ref="U313">IF(C313="",INDEX(C307:C313,MATCH(TRUE,INDEX((C307:C313&lt;&gt;""),0),0)),C313)</f>
        <v>BOS Prince</v>
      </c>
      <c r="V313" s="180">
        <f t="shared" si="25"/>
        <v>1</v>
      </c>
      <c r="W313" s="182">
        <v>20000</v>
      </c>
      <c r="X313" s="180"/>
      <c r="Y313" s="180">
        <f t="shared" si="26"/>
        <v>21388</v>
      </c>
      <c r="Z313" s="181"/>
    </row>
    <row r="314" spans="1:26" ht="25" customHeight="1" outlineLevel="1" x14ac:dyDescent="0.35">
      <c r="B314" s="125"/>
      <c r="C314" s="125"/>
      <c r="D314" s="125"/>
      <c r="E314" s="3" t="s">
        <v>13</v>
      </c>
      <c r="F314" s="31" t="s">
        <v>17</v>
      </c>
      <c r="G314" s="35"/>
      <c r="H314" s="57">
        <f t="shared" si="27"/>
        <v>12000</v>
      </c>
      <c r="I314" s="57">
        <f t="shared" si="28"/>
        <v>3200</v>
      </c>
      <c r="J314" s="58">
        <f t="shared" si="29"/>
        <v>64</v>
      </c>
      <c r="K314" s="125"/>
      <c r="L314" s="42"/>
      <c r="U314" s="179" t="str" cm="1">
        <f t="array" ref="U314">IF(C314="",INDEX(C308:C314,MATCH(TRUE,INDEX((C308:C314&lt;&gt;""),0),0)),C314)</f>
        <v>BOS Prince</v>
      </c>
      <c r="V314" s="180">
        <f t="shared" si="25"/>
        <v>1</v>
      </c>
      <c r="W314" s="182">
        <v>20000</v>
      </c>
      <c r="X314" s="180"/>
      <c r="Y314" s="180">
        <f t="shared" si="26"/>
        <v>21388</v>
      </c>
      <c r="Z314" s="181"/>
    </row>
    <row r="315" spans="1:26" ht="25" customHeight="1" outlineLevel="1" x14ac:dyDescent="0.35">
      <c r="B315" s="125"/>
      <c r="C315" s="125"/>
      <c r="D315" s="125"/>
      <c r="E315" s="3" t="s">
        <v>114</v>
      </c>
      <c r="F315" s="31" t="s">
        <v>21</v>
      </c>
      <c r="G315" s="35"/>
      <c r="H315" s="57" t="str">
        <f t="shared" si="27"/>
        <v/>
      </c>
      <c r="I315" s="57" t="str">
        <f t="shared" si="28"/>
        <v/>
      </c>
      <c r="J315" s="58" t="str">
        <f t="shared" si="29"/>
        <v/>
      </c>
      <c r="K315" s="125"/>
      <c r="L315" s="42"/>
      <c r="U315" s="179" t="str" cm="1">
        <f t="array" ref="U315">IF(C315="",INDEX(C309:C315,MATCH(TRUE,INDEX((C309:C315&lt;&gt;""),0),0)),C315)</f>
        <v>BOS Prince</v>
      </c>
      <c r="V315" s="180">
        <f t="shared" si="25"/>
        <v>1</v>
      </c>
      <c r="W315" s="182">
        <v>20000</v>
      </c>
      <c r="X315" s="180"/>
      <c r="Y315" s="180">
        <f t="shared" si="26"/>
        <v>21388</v>
      </c>
      <c r="Z315" s="181"/>
    </row>
    <row r="316" spans="1:26" ht="25" customHeight="1" outlineLevel="1" x14ac:dyDescent="0.35">
      <c r="B316" s="125"/>
      <c r="C316" s="125"/>
      <c r="D316" s="125"/>
      <c r="E316" s="3" t="s">
        <v>113</v>
      </c>
      <c r="F316" s="31" t="s">
        <v>17</v>
      </c>
      <c r="G316" s="35"/>
      <c r="H316" s="57">
        <f t="shared" si="27"/>
        <v>16000</v>
      </c>
      <c r="I316" s="57">
        <f t="shared" si="28"/>
        <v>100</v>
      </c>
      <c r="J316" s="58">
        <f t="shared" si="29"/>
        <v>85</v>
      </c>
      <c r="K316" s="125"/>
      <c r="L316" s="42" t="s">
        <v>145</v>
      </c>
      <c r="U316" s="179" t="str" cm="1">
        <f t="array" ref="U316">IF(C316="",INDEX(C310:C316,MATCH(TRUE,INDEX((C310:C316&lt;&gt;""),0),0)),C316)</f>
        <v>BOS Prince</v>
      </c>
      <c r="V316" s="180">
        <f t="shared" si="25"/>
        <v>1</v>
      </c>
      <c r="W316" s="182">
        <v>20000</v>
      </c>
      <c r="X316" s="180"/>
      <c r="Y316" s="180">
        <f t="shared" si="26"/>
        <v>21388</v>
      </c>
      <c r="Z316" s="181"/>
    </row>
    <row r="317" spans="1:26" ht="25" customHeight="1" outlineLevel="1" x14ac:dyDescent="0.35">
      <c r="B317" s="125"/>
      <c r="C317" s="125"/>
      <c r="D317" s="125"/>
      <c r="E317" s="3" t="s">
        <v>110</v>
      </c>
      <c r="F317" s="31" t="s">
        <v>21</v>
      </c>
      <c r="G317" s="35"/>
      <c r="H317" s="57" t="str">
        <f t="shared" si="27"/>
        <v/>
      </c>
      <c r="I317" s="57" t="str">
        <f t="shared" si="28"/>
        <v/>
      </c>
      <c r="J317" s="58" t="str">
        <f t="shared" si="29"/>
        <v/>
      </c>
      <c r="K317" s="125"/>
      <c r="L317" s="42"/>
      <c r="U317" s="179" t="str" cm="1">
        <f t="array" ref="U317">IF(C317="",INDEX(C311:C317,MATCH(TRUE,INDEX((C311:C317&lt;&gt;""),0),0)),C317)</f>
        <v>BOS Prince</v>
      </c>
      <c r="V317" s="180">
        <f t="shared" si="25"/>
        <v>1</v>
      </c>
      <c r="W317" s="182">
        <v>20000</v>
      </c>
      <c r="X317" s="180"/>
      <c r="Y317" s="180">
        <f t="shared" si="26"/>
        <v>21388</v>
      </c>
      <c r="Z317" s="181"/>
    </row>
    <row r="318" spans="1:26" ht="25" customHeight="1" outlineLevel="1" x14ac:dyDescent="0.35">
      <c r="B318" s="126"/>
      <c r="C318" s="126"/>
      <c r="D318" s="126"/>
      <c r="E318" s="4" t="s">
        <v>14</v>
      </c>
      <c r="F318" s="31" t="s">
        <v>17</v>
      </c>
      <c r="G318" s="39"/>
      <c r="H318" s="65">
        <f t="shared" si="27"/>
        <v>2500</v>
      </c>
      <c r="I318" s="65">
        <f t="shared" si="28"/>
        <v>3200</v>
      </c>
      <c r="J318" s="66">
        <f t="shared" si="29"/>
        <v>11</v>
      </c>
      <c r="K318" s="126"/>
      <c r="L318" s="43"/>
      <c r="U318" s="179" t="str" cm="1">
        <f t="array" ref="U318">IF(C318="",INDEX(C312:C318,MATCH(TRUE,INDEX((C312:C318&lt;&gt;""),0),0)),C318)</f>
        <v>BOS Prince</v>
      </c>
      <c r="V318" s="180">
        <f t="shared" si="25"/>
        <v>1</v>
      </c>
      <c r="W318" s="182">
        <v>20000</v>
      </c>
      <c r="X318" s="180"/>
      <c r="Y318" s="180">
        <f t="shared" si="26"/>
        <v>21388</v>
      </c>
      <c r="Z318" s="181"/>
    </row>
    <row r="319" spans="1:26" ht="30" customHeight="1" x14ac:dyDescent="0.35">
      <c r="A319" s="8" t="s">
        <v>140</v>
      </c>
      <c r="B319" s="121">
        <v>54</v>
      </c>
      <c r="C319" s="121" t="s">
        <v>83</v>
      </c>
      <c r="D319" s="121" t="s">
        <v>72</v>
      </c>
      <c r="E319" s="27" t="s">
        <v>106</v>
      </c>
      <c r="F319" s="32"/>
      <c r="G319" s="37"/>
      <c r="H319" s="61" t="str">
        <f t="shared" si="27"/>
        <v/>
      </c>
      <c r="I319" s="61" t="str">
        <f t="shared" si="28"/>
        <v/>
      </c>
      <c r="J319" s="62" t="str">
        <f t="shared" si="29"/>
        <v/>
      </c>
      <c r="K319" s="121" t="s">
        <v>183</v>
      </c>
      <c r="L319" s="44"/>
      <c r="U319" s="179" t="str" cm="1">
        <f t="array" ref="U319">IF(C319="",INDEX(C313:C319,MATCH(TRUE,INDEX((C313:C319&lt;&gt;""),0),0)),C319)</f>
        <v>BOS Principle</v>
      </c>
      <c r="V319" s="180">
        <f t="shared" si="25"/>
        <v>1</v>
      </c>
      <c r="W319" s="182">
        <v>20000</v>
      </c>
      <c r="X319" s="180"/>
      <c r="Y319" s="180">
        <f t="shared" si="26"/>
        <v>21388</v>
      </c>
      <c r="Z319" s="181"/>
    </row>
    <row r="320" spans="1:26" ht="25" customHeight="1" outlineLevel="1" x14ac:dyDescent="0.35">
      <c r="B320" s="122"/>
      <c r="C320" s="122"/>
      <c r="D320" s="122"/>
      <c r="E320" s="6" t="s">
        <v>13</v>
      </c>
      <c r="F320" s="32" t="s">
        <v>17</v>
      </c>
      <c r="G320" s="37"/>
      <c r="H320" s="61">
        <f t="shared" si="27"/>
        <v>12000</v>
      </c>
      <c r="I320" s="61">
        <f t="shared" si="28"/>
        <v>3200</v>
      </c>
      <c r="J320" s="62">
        <f t="shared" si="29"/>
        <v>64</v>
      </c>
      <c r="K320" s="122"/>
      <c r="L320" s="45"/>
      <c r="U320" s="179" t="str" cm="1">
        <f t="array" ref="U320">IF(C320="",INDEX(C314:C320,MATCH(TRUE,INDEX((C314:C320&lt;&gt;""),0),0)),C320)</f>
        <v>BOS Principle</v>
      </c>
      <c r="V320" s="180">
        <f t="shared" si="25"/>
        <v>1</v>
      </c>
      <c r="W320" s="182">
        <v>20000</v>
      </c>
      <c r="X320" s="180"/>
      <c r="Y320" s="180">
        <f t="shared" si="26"/>
        <v>21388</v>
      </c>
      <c r="Z320" s="181"/>
    </row>
    <row r="321" spans="1:26" ht="25" customHeight="1" outlineLevel="1" x14ac:dyDescent="0.35">
      <c r="B321" s="122"/>
      <c r="C321" s="122"/>
      <c r="D321" s="122"/>
      <c r="E321" s="6" t="s">
        <v>114</v>
      </c>
      <c r="F321" s="32" t="s">
        <v>21</v>
      </c>
      <c r="G321" s="37"/>
      <c r="H321" s="61" t="str">
        <f t="shared" si="27"/>
        <v/>
      </c>
      <c r="I321" s="61" t="str">
        <f t="shared" si="28"/>
        <v/>
      </c>
      <c r="J321" s="62" t="str">
        <f t="shared" si="29"/>
        <v/>
      </c>
      <c r="K321" s="122"/>
      <c r="L321" s="45"/>
      <c r="U321" s="179" t="str" cm="1">
        <f t="array" ref="U321">IF(C321="",INDEX(C315:C321,MATCH(TRUE,INDEX((C315:C321&lt;&gt;""),0),0)),C321)</f>
        <v>BOS Principle</v>
      </c>
      <c r="V321" s="180">
        <f t="shared" si="25"/>
        <v>1</v>
      </c>
      <c r="W321" s="182">
        <v>20000</v>
      </c>
      <c r="X321" s="180"/>
      <c r="Y321" s="180">
        <f t="shared" si="26"/>
        <v>21388</v>
      </c>
      <c r="Z321" s="181"/>
    </row>
    <row r="322" spans="1:26" ht="25" customHeight="1" outlineLevel="1" x14ac:dyDescent="0.35">
      <c r="B322" s="122"/>
      <c r="C322" s="122"/>
      <c r="D322" s="122"/>
      <c r="E322" s="6" t="s">
        <v>113</v>
      </c>
      <c r="F322" s="32" t="s">
        <v>17</v>
      </c>
      <c r="G322" s="37"/>
      <c r="H322" s="61">
        <f t="shared" si="27"/>
        <v>16000</v>
      </c>
      <c r="I322" s="61">
        <f t="shared" si="28"/>
        <v>100</v>
      </c>
      <c r="J322" s="62">
        <f t="shared" si="29"/>
        <v>85</v>
      </c>
      <c r="K322" s="122"/>
      <c r="L322" s="45" t="s">
        <v>182</v>
      </c>
      <c r="U322" s="179" t="str" cm="1">
        <f t="array" ref="U322">IF(C322="",INDEX(C316:C322,MATCH(TRUE,INDEX((C316:C322&lt;&gt;""),0),0)),C322)</f>
        <v>BOS Principle</v>
      </c>
      <c r="V322" s="180">
        <f t="shared" si="25"/>
        <v>1</v>
      </c>
      <c r="W322" s="182">
        <v>20000</v>
      </c>
      <c r="X322" s="180"/>
      <c r="Y322" s="180">
        <f t="shared" si="26"/>
        <v>21388</v>
      </c>
      <c r="Z322" s="181"/>
    </row>
    <row r="323" spans="1:26" ht="25" customHeight="1" outlineLevel="1" x14ac:dyDescent="0.35">
      <c r="B323" s="122"/>
      <c r="C323" s="122"/>
      <c r="D323" s="122"/>
      <c r="E323" s="6" t="s">
        <v>110</v>
      </c>
      <c r="F323" s="32" t="s">
        <v>21</v>
      </c>
      <c r="G323" s="37"/>
      <c r="H323" s="61" t="str">
        <f t="shared" si="27"/>
        <v/>
      </c>
      <c r="I323" s="61" t="str">
        <f t="shared" si="28"/>
        <v/>
      </c>
      <c r="J323" s="62" t="str">
        <f t="shared" si="29"/>
        <v/>
      </c>
      <c r="K323" s="122"/>
      <c r="L323" s="45"/>
      <c r="U323" s="179" t="str" cm="1">
        <f t="array" ref="U323">IF(C323="",INDEX(C317:C323,MATCH(TRUE,INDEX((C317:C323&lt;&gt;""),0),0)),C323)</f>
        <v>BOS Principle</v>
      </c>
      <c r="V323" s="180">
        <f t="shared" si="25"/>
        <v>1</v>
      </c>
      <c r="W323" s="182">
        <v>20000</v>
      </c>
      <c r="X323" s="180"/>
      <c r="Y323" s="180">
        <f t="shared" si="26"/>
        <v>21388</v>
      </c>
      <c r="Z323" s="181"/>
    </row>
    <row r="324" spans="1:26" ht="25" customHeight="1" outlineLevel="1" x14ac:dyDescent="0.35">
      <c r="B324" s="123"/>
      <c r="C324" s="123"/>
      <c r="D324" s="123"/>
      <c r="E324" s="7" t="s">
        <v>14</v>
      </c>
      <c r="F324" s="32" t="s">
        <v>109</v>
      </c>
      <c r="G324" s="37"/>
      <c r="H324" s="61" t="str">
        <f t="shared" si="27"/>
        <v/>
      </c>
      <c r="I324" s="61" t="str">
        <f t="shared" si="28"/>
        <v/>
      </c>
      <c r="J324" s="62" t="str">
        <f t="shared" si="29"/>
        <v/>
      </c>
      <c r="K324" s="123"/>
      <c r="L324" s="46"/>
      <c r="U324" s="179" t="str" cm="1">
        <f t="array" ref="U324">IF(C324="",INDEX(C318:C324,MATCH(TRUE,INDEX((C318:C324&lt;&gt;""),0),0)),C324)</f>
        <v>BOS Principle</v>
      </c>
      <c r="V324" s="180">
        <f t="shared" si="25"/>
        <v>1</v>
      </c>
      <c r="W324" s="182">
        <v>20000</v>
      </c>
      <c r="X324" s="180"/>
      <c r="Y324" s="180">
        <f t="shared" si="26"/>
        <v>21388</v>
      </c>
      <c r="Z324" s="181"/>
    </row>
    <row r="325" spans="1:26" ht="30" customHeight="1" x14ac:dyDescent="0.35">
      <c r="A325" s="8" t="s">
        <v>140</v>
      </c>
      <c r="B325" s="124">
        <v>55</v>
      </c>
      <c r="C325" s="124" t="s">
        <v>84</v>
      </c>
      <c r="D325" s="124" t="s">
        <v>72</v>
      </c>
      <c r="E325" s="26" t="s">
        <v>106</v>
      </c>
      <c r="F325" s="31"/>
      <c r="G325" s="34"/>
      <c r="H325" s="55" t="str">
        <f t="shared" si="27"/>
        <v/>
      </c>
      <c r="I325" s="55" t="str">
        <f t="shared" si="28"/>
        <v/>
      </c>
      <c r="J325" s="56" t="str">
        <f t="shared" si="29"/>
        <v/>
      </c>
      <c r="K325" s="2"/>
      <c r="L325" s="41"/>
      <c r="U325" s="179" t="str" cm="1">
        <f t="array" ref="U325">IF(C325="",INDEX(C319:C325,MATCH(TRUE,INDEX((C319:C325&lt;&gt;""),0),0)),C325)</f>
        <v>BOS Prudence</v>
      </c>
      <c r="V325" s="180">
        <f t="shared" si="25"/>
        <v>0.94286515803254156</v>
      </c>
      <c r="W325" s="182">
        <v>20000</v>
      </c>
      <c r="X325" s="180"/>
      <c r="Y325" s="180">
        <f t="shared" si="26"/>
        <v>20166</v>
      </c>
      <c r="Z325" s="181"/>
    </row>
    <row r="326" spans="1:26" ht="25" customHeight="1" outlineLevel="1" x14ac:dyDescent="0.35">
      <c r="B326" s="125"/>
      <c r="C326" s="125"/>
      <c r="D326" s="125"/>
      <c r="E326" s="3" t="s">
        <v>13</v>
      </c>
      <c r="F326" s="31" t="s">
        <v>17</v>
      </c>
      <c r="G326" s="35"/>
      <c r="H326" s="57">
        <f t="shared" si="27"/>
        <v>11314.3818963905</v>
      </c>
      <c r="I326" s="57">
        <f t="shared" si="28"/>
        <v>3017.1685057041332</v>
      </c>
      <c r="J326" s="58">
        <f t="shared" si="29"/>
        <v>60.34337011408266</v>
      </c>
      <c r="K326" s="3"/>
      <c r="L326" s="42" t="s">
        <v>190</v>
      </c>
      <c r="U326" s="179" t="str" cm="1">
        <f t="array" ref="U326">IF(C326="",INDEX(C320:C326,MATCH(TRUE,INDEX((C320:C326&lt;&gt;""),0),0)),C326)</f>
        <v>BOS Prudence</v>
      </c>
      <c r="V326" s="180">
        <f t="shared" si="25"/>
        <v>0.94286515803254156</v>
      </c>
      <c r="W326" s="182">
        <v>20000</v>
      </c>
      <c r="X326" s="180"/>
      <c r="Y326" s="180">
        <f t="shared" si="26"/>
        <v>20166</v>
      </c>
      <c r="Z326" s="181"/>
    </row>
    <row r="327" spans="1:26" ht="25" customHeight="1" outlineLevel="1" x14ac:dyDescent="0.35">
      <c r="B327" s="125"/>
      <c r="C327" s="125"/>
      <c r="D327" s="125"/>
      <c r="E327" s="3" t="s">
        <v>114</v>
      </c>
      <c r="F327" s="31" t="s">
        <v>21</v>
      </c>
      <c r="G327" s="35"/>
      <c r="H327" s="57" t="str">
        <f t="shared" si="27"/>
        <v/>
      </c>
      <c r="I327" s="57" t="str">
        <f t="shared" si="28"/>
        <v/>
      </c>
      <c r="J327" s="58" t="str">
        <f t="shared" si="29"/>
        <v/>
      </c>
      <c r="K327" s="3"/>
      <c r="L327" s="42"/>
      <c r="U327" s="179" t="str" cm="1">
        <f t="array" ref="U327">IF(C327="",INDEX(C321:C327,MATCH(TRUE,INDEX((C321:C327&lt;&gt;""),0),0)),C327)</f>
        <v>BOS Prudence</v>
      </c>
      <c r="V327" s="180">
        <f t="shared" si="25"/>
        <v>0.94286515803254156</v>
      </c>
      <c r="W327" s="182">
        <v>20000</v>
      </c>
      <c r="X327" s="180"/>
      <c r="Y327" s="180">
        <f t="shared" si="26"/>
        <v>20166</v>
      </c>
      <c r="Z327" s="181"/>
    </row>
    <row r="328" spans="1:26" ht="25" customHeight="1" outlineLevel="1" x14ac:dyDescent="0.35">
      <c r="B328" s="125"/>
      <c r="C328" s="125"/>
      <c r="D328" s="125"/>
      <c r="E328" s="3" t="s">
        <v>113</v>
      </c>
      <c r="F328" s="31" t="s">
        <v>17</v>
      </c>
      <c r="G328" s="35"/>
      <c r="H328" s="57">
        <f t="shared" si="27"/>
        <v>15085.842528520665</v>
      </c>
      <c r="I328" s="57">
        <f t="shared" si="28"/>
        <v>94.286515803254161</v>
      </c>
      <c r="J328" s="58">
        <f t="shared" si="29"/>
        <v>80.143538432766036</v>
      </c>
      <c r="K328" s="3"/>
      <c r="L328" s="42" t="s">
        <v>191</v>
      </c>
      <c r="U328" s="179" t="str" cm="1">
        <f t="array" ref="U328">IF(C328="",INDEX(C322:C328,MATCH(TRUE,INDEX((C322:C328&lt;&gt;""),0),0)),C328)</f>
        <v>BOS Prudence</v>
      </c>
      <c r="V328" s="180">
        <f t="shared" si="25"/>
        <v>0.94286515803254156</v>
      </c>
      <c r="W328" s="182">
        <v>20000</v>
      </c>
      <c r="X328" s="180"/>
      <c r="Y328" s="180">
        <f t="shared" si="26"/>
        <v>20166</v>
      </c>
      <c r="Z328" s="181"/>
    </row>
    <row r="329" spans="1:26" ht="25" customHeight="1" outlineLevel="1" x14ac:dyDescent="0.35">
      <c r="B329" s="125"/>
      <c r="C329" s="125"/>
      <c r="D329" s="125"/>
      <c r="E329" s="3" t="s">
        <v>110</v>
      </c>
      <c r="F329" s="31" t="s">
        <v>21</v>
      </c>
      <c r="G329" s="35"/>
      <c r="H329" s="57" t="str">
        <f t="shared" si="27"/>
        <v/>
      </c>
      <c r="I329" s="57" t="str">
        <f t="shared" si="28"/>
        <v/>
      </c>
      <c r="J329" s="58" t="str">
        <f t="shared" si="29"/>
        <v/>
      </c>
      <c r="K329" s="3"/>
      <c r="L329" s="42"/>
      <c r="U329" s="179" t="str" cm="1">
        <f t="array" ref="U329">IF(C329="",INDEX(C323:C329,MATCH(TRUE,INDEX((C323:C329&lt;&gt;""),0),0)),C329)</f>
        <v>BOS Prudence</v>
      </c>
      <c r="V329" s="180">
        <f t="shared" si="25"/>
        <v>0.94286515803254156</v>
      </c>
      <c r="W329" s="182">
        <v>20000</v>
      </c>
      <c r="X329" s="180"/>
      <c r="Y329" s="180">
        <f t="shared" si="26"/>
        <v>20166</v>
      </c>
      <c r="Z329" s="181"/>
    </row>
    <row r="330" spans="1:26" ht="25" customHeight="1" outlineLevel="1" x14ac:dyDescent="0.35">
      <c r="B330" s="126"/>
      <c r="C330" s="126"/>
      <c r="D330" s="126"/>
      <c r="E330" s="4" t="s">
        <v>14</v>
      </c>
      <c r="F330" s="31" t="s">
        <v>17</v>
      </c>
      <c r="G330" s="39"/>
      <c r="H330" s="65">
        <f t="shared" si="27"/>
        <v>2357.1628950813538</v>
      </c>
      <c r="I330" s="65">
        <f t="shared" si="28"/>
        <v>3017.1685057041332</v>
      </c>
      <c r="J330" s="66">
        <f t="shared" si="29"/>
        <v>10.371516738357958</v>
      </c>
      <c r="K330" s="4"/>
      <c r="L330" s="43" t="s">
        <v>192</v>
      </c>
      <c r="U330" s="179" t="str" cm="1">
        <f t="array" ref="U330">IF(C330="",INDEX(C324:C330,MATCH(TRUE,INDEX((C324:C330&lt;&gt;""),0),0)),C330)</f>
        <v>BOS Prudence</v>
      </c>
      <c r="V330" s="180">
        <f t="shared" ref="V330:V393" si="30">MIN(Y330/21388,1.3)</f>
        <v>0.94286515803254156</v>
      </c>
      <c r="W330" s="182">
        <v>20000</v>
      </c>
      <c r="X330" s="180"/>
      <c r="Y330" s="180">
        <f t="shared" ref="Y330:Y393" si="31">INT(VLOOKUP(U330, $AB$30:$AH$96, 7, FALSE))</f>
        <v>20166</v>
      </c>
      <c r="Z330" s="181"/>
    </row>
    <row r="331" spans="1:26" ht="30" customHeight="1" x14ac:dyDescent="0.35">
      <c r="B331" s="121">
        <v>56</v>
      </c>
      <c r="C331" s="121" t="s">
        <v>85</v>
      </c>
      <c r="D331" s="121" t="s">
        <v>72</v>
      </c>
      <c r="E331" s="27" t="s">
        <v>106</v>
      </c>
      <c r="F331" s="32"/>
      <c r="G331" s="37"/>
      <c r="H331" s="61" t="str">
        <f t="shared" si="27"/>
        <v/>
      </c>
      <c r="I331" s="61" t="str">
        <f t="shared" si="28"/>
        <v/>
      </c>
      <c r="J331" s="62" t="str">
        <f t="shared" si="29"/>
        <v/>
      </c>
      <c r="K331" s="6"/>
      <c r="L331" s="44"/>
      <c r="U331" s="179" t="str" cm="1">
        <f t="array" ref="U331">IF(C331="",INDEX(C325:C331,MATCH(TRUE,INDEX((C325:C331&lt;&gt;""),0),0)),C331)</f>
        <v>BOS Purpose</v>
      </c>
      <c r="V331" s="180">
        <f t="shared" si="30"/>
        <v>0.94286515803254156</v>
      </c>
      <c r="W331" s="182">
        <v>20000</v>
      </c>
      <c r="X331" s="180"/>
      <c r="Y331" s="180">
        <f t="shared" si="31"/>
        <v>20166</v>
      </c>
      <c r="Z331" s="181"/>
    </row>
    <row r="332" spans="1:26" ht="25" customHeight="1" outlineLevel="1" x14ac:dyDescent="0.35">
      <c r="B332" s="122"/>
      <c r="C332" s="122"/>
      <c r="D332" s="122"/>
      <c r="E332" s="6" t="s">
        <v>13</v>
      </c>
      <c r="F332" s="32" t="s">
        <v>17</v>
      </c>
      <c r="G332" s="37"/>
      <c r="H332" s="61">
        <f t="shared" si="27"/>
        <v>11314.3818963905</v>
      </c>
      <c r="I332" s="61">
        <f t="shared" si="28"/>
        <v>3017.1685057041332</v>
      </c>
      <c r="J332" s="62">
        <f t="shared" si="29"/>
        <v>60.34337011408266</v>
      </c>
      <c r="K332" s="6"/>
      <c r="L332" s="45"/>
      <c r="U332" s="179" t="str" cm="1">
        <f t="array" ref="U332">IF(C332="",INDEX(C326:C332,MATCH(TRUE,INDEX((C326:C332&lt;&gt;""),0),0)),C332)</f>
        <v>BOS Purpose</v>
      </c>
      <c r="V332" s="180">
        <f t="shared" si="30"/>
        <v>0.94286515803254156</v>
      </c>
      <c r="W332" s="182">
        <v>20000</v>
      </c>
      <c r="X332" s="180"/>
      <c r="Y332" s="180">
        <f t="shared" si="31"/>
        <v>20166</v>
      </c>
      <c r="Z332" s="181"/>
    </row>
    <row r="333" spans="1:26" ht="25" customHeight="1" outlineLevel="1" x14ac:dyDescent="0.35">
      <c r="B333" s="122"/>
      <c r="C333" s="122"/>
      <c r="D333" s="122"/>
      <c r="E333" s="6" t="s">
        <v>114</v>
      </c>
      <c r="F333" s="32"/>
      <c r="G333" s="37"/>
      <c r="H333" s="61" t="str">
        <f t="shared" si="27"/>
        <v/>
      </c>
      <c r="I333" s="61" t="str">
        <f t="shared" si="28"/>
        <v/>
      </c>
      <c r="J333" s="62" t="str">
        <f t="shared" si="29"/>
        <v/>
      </c>
      <c r="K333" s="6"/>
      <c r="L333" s="45"/>
      <c r="U333" s="179" t="str" cm="1">
        <f t="array" ref="U333">IF(C333="",INDEX(C327:C333,MATCH(TRUE,INDEX((C327:C333&lt;&gt;""),0),0)),C333)</f>
        <v>BOS Purpose</v>
      </c>
      <c r="V333" s="180">
        <f t="shared" si="30"/>
        <v>0.94286515803254156</v>
      </c>
      <c r="W333" s="182">
        <v>20000</v>
      </c>
      <c r="X333" s="180"/>
      <c r="Y333" s="180">
        <f t="shared" si="31"/>
        <v>20166</v>
      </c>
      <c r="Z333" s="181"/>
    </row>
    <row r="334" spans="1:26" ht="25" customHeight="1" outlineLevel="1" x14ac:dyDescent="0.35">
      <c r="B334" s="122"/>
      <c r="C334" s="122"/>
      <c r="D334" s="122"/>
      <c r="E334" s="6" t="s">
        <v>113</v>
      </c>
      <c r="F334" s="32"/>
      <c r="G334" s="37"/>
      <c r="H334" s="61" t="str">
        <f t="shared" si="27"/>
        <v/>
      </c>
      <c r="I334" s="61" t="str">
        <f t="shared" si="28"/>
        <v/>
      </c>
      <c r="J334" s="62" t="str">
        <f t="shared" si="29"/>
        <v/>
      </c>
      <c r="K334" s="6"/>
      <c r="L334" s="45"/>
      <c r="U334" s="179" t="str" cm="1">
        <f t="array" ref="U334">IF(C334="",INDEX(C328:C334,MATCH(TRUE,INDEX((C328:C334&lt;&gt;""),0),0)),C334)</f>
        <v>BOS Purpose</v>
      </c>
      <c r="V334" s="180">
        <f t="shared" si="30"/>
        <v>0.94286515803254156</v>
      </c>
      <c r="W334" s="182">
        <v>20000</v>
      </c>
      <c r="X334" s="180"/>
      <c r="Y334" s="180">
        <f t="shared" si="31"/>
        <v>20166</v>
      </c>
      <c r="Z334" s="181"/>
    </row>
    <row r="335" spans="1:26" ht="25" customHeight="1" outlineLevel="1" x14ac:dyDescent="0.35">
      <c r="B335" s="122"/>
      <c r="C335" s="122"/>
      <c r="D335" s="122"/>
      <c r="E335" s="6" t="s">
        <v>110</v>
      </c>
      <c r="F335" s="32"/>
      <c r="G335" s="37"/>
      <c r="H335" s="61" t="str">
        <f t="shared" si="27"/>
        <v/>
      </c>
      <c r="I335" s="61" t="str">
        <f t="shared" si="28"/>
        <v/>
      </c>
      <c r="J335" s="62" t="str">
        <f t="shared" si="29"/>
        <v/>
      </c>
      <c r="K335" s="6"/>
      <c r="L335" s="45"/>
      <c r="U335" s="179" t="str" cm="1">
        <f t="array" ref="U335">IF(C335="",INDEX(C329:C335,MATCH(TRUE,INDEX((C329:C335&lt;&gt;""),0),0)),C335)</f>
        <v>BOS Purpose</v>
      </c>
      <c r="V335" s="180">
        <f t="shared" si="30"/>
        <v>0.94286515803254156</v>
      </c>
      <c r="W335" s="182">
        <v>20000</v>
      </c>
      <c r="X335" s="180"/>
      <c r="Y335" s="180">
        <f t="shared" si="31"/>
        <v>20166</v>
      </c>
      <c r="Z335" s="181"/>
    </row>
    <row r="336" spans="1:26" ht="25" customHeight="1" outlineLevel="1" x14ac:dyDescent="0.35">
      <c r="B336" s="123"/>
      <c r="C336" s="123"/>
      <c r="D336" s="123"/>
      <c r="E336" s="7" t="s">
        <v>14</v>
      </c>
      <c r="F336" s="32" t="s">
        <v>17</v>
      </c>
      <c r="G336" s="37"/>
      <c r="H336" s="61">
        <f t="shared" si="27"/>
        <v>2357.1628950813538</v>
      </c>
      <c r="I336" s="61">
        <f t="shared" si="28"/>
        <v>3017.1685057041332</v>
      </c>
      <c r="J336" s="62">
        <f t="shared" si="29"/>
        <v>10.371516738357958</v>
      </c>
      <c r="K336" s="6"/>
      <c r="L336" s="46"/>
      <c r="U336" s="179" t="str" cm="1">
        <f t="array" ref="U336">IF(C336="",INDEX(C330:C336,MATCH(TRUE,INDEX((C330:C336&lt;&gt;""),0),0)),C336)</f>
        <v>BOS Purpose</v>
      </c>
      <c r="V336" s="180">
        <f t="shared" si="30"/>
        <v>0.94286515803254156</v>
      </c>
      <c r="W336" s="182">
        <v>20000</v>
      </c>
      <c r="X336" s="180"/>
      <c r="Y336" s="180">
        <f t="shared" si="31"/>
        <v>20166</v>
      </c>
      <c r="Z336" s="181"/>
    </row>
    <row r="337" spans="2:26" ht="30" customHeight="1" x14ac:dyDescent="0.35">
      <c r="B337" s="124">
        <v>57</v>
      </c>
      <c r="C337" s="124" t="s">
        <v>86</v>
      </c>
      <c r="D337" s="124" t="s">
        <v>87</v>
      </c>
      <c r="E337" s="26" t="s">
        <v>106</v>
      </c>
      <c r="F337" s="31"/>
      <c r="G337" s="34"/>
      <c r="H337" s="55" t="str">
        <f t="shared" si="27"/>
        <v/>
      </c>
      <c r="I337" s="55" t="str">
        <f t="shared" si="28"/>
        <v/>
      </c>
      <c r="J337" s="56" t="str">
        <f t="shared" si="29"/>
        <v/>
      </c>
      <c r="K337" s="2"/>
      <c r="L337" s="41"/>
      <c r="U337" s="179" t="str" cm="1">
        <f t="array" ref="U337">IF(C337="",INDEX(C331:C337,MATCH(TRUE,INDEX((C331:C337&lt;&gt;""),0),0)),C337)</f>
        <v>Britoil Diamond</v>
      </c>
      <c r="V337" s="180">
        <f t="shared" si="30"/>
        <v>0.98087712736113708</v>
      </c>
      <c r="W337" s="182">
        <v>20000</v>
      </c>
      <c r="X337" s="180"/>
      <c r="Y337" s="180">
        <f t="shared" si="31"/>
        <v>20979</v>
      </c>
      <c r="Z337" s="181"/>
    </row>
    <row r="338" spans="2:26" ht="25" customHeight="1" outlineLevel="1" x14ac:dyDescent="0.35">
      <c r="B338" s="125"/>
      <c r="C338" s="125"/>
      <c r="D338" s="125"/>
      <c r="E338" s="3" t="s">
        <v>13</v>
      </c>
      <c r="F338" s="31"/>
      <c r="G338" s="35"/>
      <c r="H338" s="57" t="str">
        <f t="shared" si="27"/>
        <v/>
      </c>
      <c r="I338" s="57" t="str">
        <f t="shared" si="28"/>
        <v/>
      </c>
      <c r="J338" s="58" t="str">
        <f t="shared" si="29"/>
        <v/>
      </c>
      <c r="K338" s="3"/>
      <c r="L338" s="42"/>
      <c r="U338" s="179" t="str" cm="1">
        <f t="array" ref="U338">IF(C338="",INDEX(C332:C338,MATCH(TRUE,INDEX((C332:C338&lt;&gt;""),0),0)),C338)</f>
        <v>Britoil Diamond</v>
      </c>
      <c r="V338" s="180">
        <f t="shared" si="30"/>
        <v>0.98087712736113708</v>
      </c>
      <c r="W338" s="182">
        <v>20000</v>
      </c>
      <c r="X338" s="180"/>
      <c r="Y338" s="180">
        <f t="shared" si="31"/>
        <v>20979</v>
      </c>
      <c r="Z338" s="181"/>
    </row>
    <row r="339" spans="2:26" ht="25" customHeight="1" outlineLevel="1" x14ac:dyDescent="0.35">
      <c r="B339" s="125"/>
      <c r="C339" s="125"/>
      <c r="D339" s="125"/>
      <c r="E339" s="3" t="s">
        <v>114</v>
      </c>
      <c r="F339" s="31"/>
      <c r="G339" s="35"/>
      <c r="H339" s="57" t="str">
        <f t="shared" si="27"/>
        <v/>
      </c>
      <c r="I339" s="57" t="str">
        <f t="shared" si="28"/>
        <v/>
      </c>
      <c r="J339" s="58" t="str">
        <f t="shared" si="29"/>
        <v/>
      </c>
      <c r="K339" s="3"/>
      <c r="L339" s="42"/>
      <c r="U339" s="179" t="str" cm="1">
        <f t="array" ref="U339">IF(C339="",INDEX(C333:C339,MATCH(TRUE,INDEX((C333:C339&lt;&gt;""),0),0)),C339)</f>
        <v>Britoil Diamond</v>
      </c>
      <c r="V339" s="180">
        <f t="shared" si="30"/>
        <v>0.98087712736113708</v>
      </c>
      <c r="W339" s="182">
        <v>20000</v>
      </c>
      <c r="X339" s="180"/>
      <c r="Y339" s="180">
        <f t="shared" si="31"/>
        <v>20979</v>
      </c>
      <c r="Z339" s="181"/>
    </row>
    <row r="340" spans="2:26" ht="25" customHeight="1" outlineLevel="1" x14ac:dyDescent="0.35">
      <c r="B340" s="125"/>
      <c r="C340" s="125"/>
      <c r="D340" s="125"/>
      <c r="E340" s="3" t="s">
        <v>113</v>
      </c>
      <c r="F340" s="31"/>
      <c r="G340" s="35"/>
      <c r="H340" s="57" t="str">
        <f t="shared" si="27"/>
        <v/>
      </c>
      <c r="I340" s="57" t="str">
        <f t="shared" si="28"/>
        <v/>
      </c>
      <c r="J340" s="58" t="str">
        <f t="shared" si="29"/>
        <v/>
      </c>
      <c r="K340" s="3"/>
      <c r="L340" s="42"/>
      <c r="U340" s="179" t="str" cm="1">
        <f t="array" ref="U340">IF(C340="",INDEX(C334:C340,MATCH(TRUE,INDEX((C334:C340&lt;&gt;""),0),0)),C340)</f>
        <v>Britoil Diamond</v>
      </c>
      <c r="V340" s="180">
        <f t="shared" si="30"/>
        <v>0.98087712736113708</v>
      </c>
      <c r="W340" s="182">
        <v>20000</v>
      </c>
      <c r="X340" s="180"/>
      <c r="Y340" s="180">
        <f t="shared" si="31"/>
        <v>20979</v>
      </c>
      <c r="Z340" s="181"/>
    </row>
    <row r="341" spans="2:26" ht="25" customHeight="1" outlineLevel="1" x14ac:dyDescent="0.35">
      <c r="B341" s="125"/>
      <c r="C341" s="125"/>
      <c r="D341" s="125"/>
      <c r="E341" s="3" t="s">
        <v>110</v>
      </c>
      <c r="F341" s="31"/>
      <c r="G341" s="35"/>
      <c r="H341" s="57" t="str">
        <f t="shared" si="27"/>
        <v/>
      </c>
      <c r="I341" s="57" t="str">
        <f t="shared" si="28"/>
        <v/>
      </c>
      <c r="J341" s="58" t="str">
        <f t="shared" si="29"/>
        <v/>
      </c>
      <c r="K341" s="3"/>
      <c r="L341" s="42"/>
      <c r="U341" s="179" t="str" cm="1">
        <f t="array" ref="U341">IF(C341="",INDEX(C335:C341,MATCH(TRUE,INDEX((C335:C341&lt;&gt;""),0),0)),C341)</f>
        <v>Britoil Diamond</v>
      </c>
      <c r="V341" s="180">
        <f t="shared" si="30"/>
        <v>0.98087712736113708</v>
      </c>
      <c r="W341" s="182">
        <v>20000</v>
      </c>
      <c r="X341" s="180"/>
      <c r="Y341" s="180">
        <f t="shared" si="31"/>
        <v>20979</v>
      </c>
      <c r="Z341" s="181"/>
    </row>
    <row r="342" spans="2:26" ht="25" customHeight="1" outlineLevel="1" x14ac:dyDescent="0.35">
      <c r="B342" s="126"/>
      <c r="C342" s="126"/>
      <c r="D342" s="126"/>
      <c r="E342" s="4" t="s">
        <v>14</v>
      </c>
      <c r="F342" s="31" t="s">
        <v>109</v>
      </c>
      <c r="G342" s="39"/>
      <c r="H342" s="65" t="str">
        <f t="shared" si="27"/>
        <v/>
      </c>
      <c r="I342" s="65" t="str">
        <f t="shared" si="28"/>
        <v/>
      </c>
      <c r="J342" s="66" t="str">
        <f t="shared" si="29"/>
        <v/>
      </c>
      <c r="K342" s="4"/>
      <c r="L342" s="43"/>
      <c r="U342" s="179" t="str" cm="1">
        <f t="array" ref="U342">IF(C342="",INDEX(C336:C342,MATCH(TRUE,INDEX((C336:C342&lt;&gt;""),0),0)),C342)</f>
        <v>Britoil Diamond</v>
      </c>
      <c r="V342" s="180">
        <f t="shared" si="30"/>
        <v>0.98087712736113708</v>
      </c>
      <c r="W342" s="182">
        <v>20000</v>
      </c>
      <c r="X342" s="180"/>
      <c r="Y342" s="180">
        <f t="shared" si="31"/>
        <v>20979</v>
      </c>
      <c r="Z342" s="181"/>
    </row>
    <row r="343" spans="2:26" ht="30" customHeight="1" x14ac:dyDescent="0.35">
      <c r="B343" s="121">
        <v>58</v>
      </c>
      <c r="C343" s="121" t="s">
        <v>88</v>
      </c>
      <c r="D343" s="121" t="s">
        <v>89</v>
      </c>
      <c r="E343" s="27" t="s">
        <v>106</v>
      </c>
      <c r="F343" s="32"/>
      <c r="G343" s="37"/>
      <c r="H343" s="61" t="str">
        <f t="shared" si="27"/>
        <v/>
      </c>
      <c r="I343" s="61" t="str">
        <f t="shared" si="28"/>
        <v/>
      </c>
      <c r="J343" s="62" t="str">
        <f t="shared" si="29"/>
        <v/>
      </c>
      <c r="K343" s="6"/>
      <c r="L343" s="44"/>
      <c r="U343" s="179" t="str" cm="1">
        <f t="array" ref="U343">IF(C343="",INDEX(C337:C343,MATCH(TRUE,INDEX((C337:C343&lt;&gt;""),0),0)),C343)</f>
        <v>Lewek Hydra</v>
      </c>
      <c r="V343" s="180">
        <f t="shared" si="30"/>
        <v>1.2857677202169442</v>
      </c>
      <c r="W343" s="182">
        <v>20000</v>
      </c>
      <c r="X343" s="180"/>
      <c r="Y343" s="180">
        <f t="shared" si="31"/>
        <v>27500</v>
      </c>
      <c r="Z343" s="181"/>
    </row>
    <row r="344" spans="2:26" ht="25" customHeight="1" outlineLevel="1" x14ac:dyDescent="0.35">
      <c r="B344" s="122"/>
      <c r="C344" s="122"/>
      <c r="D344" s="122"/>
      <c r="E344" s="6" t="s">
        <v>13</v>
      </c>
      <c r="F344" s="32" t="s">
        <v>21</v>
      </c>
      <c r="G344" s="37"/>
      <c r="H344" s="61" t="str">
        <f t="shared" si="27"/>
        <v/>
      </c>
      <c r="I344" s="61" t="str">
        <f t="shared" si="28"/>
        <v/>
      </c>
      <c r="J344" s="62" t="str">
        <f t="shared" si="29"/>
        <v/>
      </c>
      <c r="K344" s="6"/>
      <c r="L344" s="45"/>
      <c r="U344" s="179" t="str" cm="1">
        <f t="array" ref="U344">IF(C344="",INDEX(C338:C344,MATCH(TRUE,INDEX((C338:C344&lt;&gt;""),0),0)),C344)</f>
        <v>Lewek Hydra</v>
      </c>
      <c r="V344" s="180">
        <f t="shared" si="30"/>
        <v>1.2857677202169442</v>
      </c>
      <c r="W344" s="182">
        <v>20000</v>
      </c>
      <c r="X344" s="180"/>
      <c r="Y344" s="180">
        <f t="shared" si="31"/>
        <v>27500</v>
      </c>
      <c r="Z344" s="181"/>
    </row>
    <row r="345" spans="2:26" ht="25" customHeight="1" outlineLevel="1" x14ac:dyDescent="0.35">
      <c r="B345" s="122"/>
      <c r="C345" s="122"/>
      <c r="D345" s="122"/>
      <c r="E345" s="6" t="s">
        <v>114</v>
      </c>
      <c r="F345" s="32" t="s">
        <v>17</v>
      </c>
      <c r="G345" s="37"/>
      <c r="H345" s="61">
        <f t="shared" si="27"/>
        <v>0</v>
      </c>
      <c r="I345" s="61">
        <f t="shared" si="28"/>
        <v>128.57677202169441</v>
      </c>
      <c r="J345" s="62">
        <f t="shared" si="29"/>
        <v>0</v>
      </c>
      <c r="K345" s="6"/>
      <c r="L345" s="45"/>
      <c r="U345" s="179" t="str" cm="1">
        <f t="array" ref="U345">IF(C345="",INDEX(C339:C345,MATCH(TRUE,INDEX((C339:C345&lt;&gt;""),0),0)),C345)</f>
        <v>Lewek Hydra</v>
      </c>
      <c r="V345" s="180">
        <f t="shared" si="30"/>
        <v>1.2857677202169442</v>
      </c>
      <c r="W345" s="182">
        <v>20000</v>
      </c>
      <c r="X345" s="180"/>
      <c r="Y345" s="180">
        <f t="shared" si="31"/>
        <v>27500</v>
      </c>
      <c r="Z345" s="181"/>
    </row>
    <row r="346" spans="2:26" ht="25" customHeight="1" outlineLevel="1" x14ac:dyDescent="0.35">
      <c r="B346" s="122"/>
      <c r="C346" s="122"/>
      <c r="D346" s="122"/>
      <c r="E346" s="6" t="s">
        <v>113</v>
      </c>
      <c r="F346" s="32"/>
      <c r="G346" s="37"/>
      <c r="H346" s="61" t="str">
        <f t="shared" ref="H346:H406" si="32">IF(F346="Done", V346*VLOOKUP(E346, $AB$3:$AC$11, 2, FALSE), "")</f>
        <v/>
      </c>
      <c r="I346" s="61" t="str">
        <f t="shared" ref="I346:I406" si="33">IF(F346="Done", V346*VLOOKUP(E346, $AB$3:$AD$11, 3, FALSE), "")</f>
        <v/>
      </c>
      <c r="J346" s="62" t="str">
        <f t="shared" ref="J346:J406" si="34">IF(F346="Done", V346*VLOOKUP(E346, $AB$3:$AE$11, 4, FALSE), "")</f>
        <v/>
      </c>
      <c r="K346" s="6"/>
      <c r="L346" s="45"/>
      <c r="U346" s="179" t="str" cm="1">
        <f t="array" ref="U346">IF(C346="",INDEX(C340:C346,MATCH(TRUE,INDEX((C340:C346&lt;&gt;""),0),0)),C346)</f>
        <v>Lewek Hydra</v>
      </c>
      <c r="V346" s="180">
        <f t="shared" si="30"/>
        <v>1.2857677202169442</v>
      </c>
      <c r="W346" s="182">
        <v>20000</v>
      </c>
      <c r="X346" s="180"/>
      <c r="Y346" s="180">
        <f t="shared" si="31"/>
        <v>27500</v>
      </c>
      <c r="Z346" s="181"/>
    </row>
    <row r="347" spans="2:26" ht="25" customHeight="1" outlineLevel="1" x14ac:dyDescent="0.35">
      <c r="B347" s="122"/>
      <c r="C347" s="122"/>
      <c r="D347" s="122"/>
      <c r="E347" s="6" t="s">
        <v>110</v>
      </c>
      <c r="F347" s="32"/>
      <c r="G347" s="37"/>
      <c r="H347" s="61" t="str">
        <f t="shared" si="32"/>
        <v/>
      </c>
      <c r="I347" s="61" t="str">
        <f t="shared" si="33"/>
        <v/>
      </c>
      <c r="J347" s="62" t="str">
        <f t="shared" si="34"/>
        <v/>
      </c>
      <c r="K347" s="6"/>
      <c r="L347" s="45"/>
      <c r="U347" s="179" t="str" cm="1">
        <f t="array" ref="U347">IF(C347="",INDEX(C341:C347,MATCH(TRUE,INDEX((C341:C347&lt;&gt;""),0),0)),C347)</f>
        <v>Lewek Hydra</v>
      </c>
      <c r="V347" s="180">
        <f t="shared" si="30"/>
        <v>1.2857677202169442</v>
      </c>
      <c r="W347" s="182">
        <v>20000</v>
      </c>
      <c r="X347" s="180"/>
      <c r="Y347" s="180">
        <f t="shared" si="31"/>
        <v>27500</v>
      </c>
      <c r="Z347" s="181"/>
    </row>
    <row r="348" spans="2:26" ht="25" customHeight="1" outlineLevel="1" x14ac:dyDescent="0.35">
      <c r="B348" s="123"/>
      <c r="C348" s="123"/>
      <c r="D348" s="123"/>
      <c r="E348" s="7" t="s">
        <v>14</v>
      </c>
      <c r="F348" s="32" t="s">
        <v>109</v>
      </c>
      <c r="G348" s="37"/>
      <c r="H348" s="61" t="str">
        <f t="shared" si="32"/>
        <v/>
      </c>
      <c r="I348" s="61" t="str">
        <f t="shared" si="33"/>
        <v/>
      </c>
      <c r="J348" s="62" t="str">
        <f t="shared" si="34"/>
        <v/>
      </c>
      <c r="K348" s="6"/>
      <c r="L348" s="46"/>
      <c r="U348" s="179" t="str" cm="1">
        <f t="array" ref="U348">IF(C348="",INDEX(C342:C348,MATCH(TRUE,INDEX((C342:C348&lt;&gt;""),0),0)),C348)</f>
        <v>Lewek Hydra</v>
      </c>
      <c r="V348" s="180">
        <f t="shared" si="30"/>
        <v>1.2857677202169442</v>
      </c>
      <c r="W348" s="182">
        <v>20000</v>
      </c>
      <c r="X348" s="180"/>
      <c r="Y348" s="180">
        <f t="shared" si="31"/>
        <v>27500</v>
      </c>
      <c r="Z348" s="181"/>
    </row>
    <row r="349" spans="2:26" ht="30" customHeight="1" x14ac:dyDescent="0.35">
      <c r="B349" s="124">
        <v>59</v>
      </c>
      <c r="C349" s="124" t="s">
        <v>90</v>
      </c>
      <c r="D349" s="124" t="s">
        <v>89</v>
      </c>
      <c r="E349" s="26" t="s">
        <v>106</v>
      </c>
      <c r="F349" s="31"/>
      <c r="G349" s="34"/>
      <c r="H349" s="55" t="str">
        <f t="shared" si="32"/>
        <v/>
      </c>
      <c r="I349" s="55" t="str">
        <f t="shared" si="33"/>
        <v/>
      </c>
      <c r="J349" s="56" t="str">
        <f t="shared" si="34"/>
        <v/>
      </c>
      <c r="K349" s="2"/>
      <c r="L349" s="41"/>
      <c r="U349" s="179" t="str" cm="1">
        <f t="array" ref="U349">IF(C349="",INDEX(C343:C349,MATCH(TRUE,INDEX((C343:C349&lt;&gt;""),0),0)),C349)</f>
        <v>Nautical Aisia</v>
      </c>
      <c r="V349" s="180">
        <f t="shared" si="30"/>
        <v>0.85716289508135401</v>
      </c>
      <c r="W349" s="182">
        <v>20000</v>
      </c>
      <c r="X349" s="180"/>
      <c r="Y349" s="180">
        <f t="shared" si="31"/>
        <v>18333</v>
      </c>
      <c r="Z349" s="181"/>
    </row>
    <row r="350" spans="2:26" ht="25" customHeight="1" outlineLevel="1" x14ac:dyDescent="0.35">
      <c r="B350" s="125"/>
      <c r="C350" s="125"/>
      <c r="D350" s="125"/>
      <c r="E350" s="3" t="s">
        <v>13</v>
      </c>
      <c r="F350" s="31" t="s">
        <v>17</v>
      </c>
      <c r="G350" s="35"/>
      <c r="H350" s="57">
        <f t="shared" si="32"/>
        <v>10285.954740976249</v>
      </c>
      <c r="I350" s="57">
        <f t="shared" si="33"/>
        <v>2742.9212642603329</v>
      </c>
      <c r="J350" s="58">
        <f t="shared" si="34"/>
        <v>54.858425285206657</v>
      </c>
      <c r="K350" s="3"/>
      <c r="L350" s="42"/>
      <c r="U350" s="179" t="str" cm="1">
        <f t="array" ref="U350">IF(C350="",INDEX(C344:C350,MATCH(TRUE,INDEX((C344:C350&lt;&gt;""),0),0)),C350)</f>
        <v>Nautical Aisia</v>
      </c>
      <c r="V350" s="180">
        <f t="shared" si="30"/>
        <v>0.85716289508135401</v>
      </c>
      <c r="W350" s="182">
        <v>20000</v>
      </c>
      <c r="X350" s="180"/>
      <c r="Y350" s="180">
        <f t="shared" si="31"/>
        <v>18333</v>
      </c>
      <c r="Z350" s="181"/>
    </row>
    <row r="351" spans="2:26" ht="25" customHeight="1" outlineLevel="1" x14ac:dyDescent="0.35">
      <c r="B351" s="125"/>
      <c r="C351" s="125"/>
      <c r="D351" s="125"/>
      <c r="E351" s="3" t="s">
        <v>114</v>
      </c>
      <c r="F351" s="31" t="s">
        <v>32</v>
      </c>
      <c r="G351" s="35"/>
      <c r="H351" s="57" t="str">
        <f t="shared" si="32"/>
        <v/>
      </c>
      <c r="I351" s="57" t="str">
        <f t="shared" si="33"/>
        <v/>
      </c>
      <c r="J351" s="58" t="str">
        <f t="shared" si="34"/>
        <v/>
      </c>
      <c r="K351" s="3"/>
      <c r="L351" s="42"/>
      <c r="U351" s="179" t="str" cm="1">
        <f t="array" ref="U351">IF(C351="",INDEX(C345:C351,MATCH(TRUE,INDEX((C345:C351&lt;&gt;""),0),0)),C351)</f>
        <v>Nautical Aisia</v>
      </c>
      <c r="V351" s="180">
        <f t="shared" si="30"/>
        <v>0.85716289508135401</v>
      </c>
      <c r="W351" s="182">
        <v>20000</v>
      </c>
      <c r="X351" s="180"/>
      <c r="Y351" s="180">
        <f t="shared" si="31"/>
        <v>18333</v>
      </c>
      <c r="Z351" s="181"/>
    </row>
    <row r="352" spans="2:26" ht="25" customHeight="1" outlineLevel="1" x14ac:dyDescent="0.35">
      <c r="B352" s="125"/>
      <c r="C352" s="125"/>
      <c r="D352" s="125"/>
      <c r="E352" s="3" t="s">
        <v>113</v>
      </c>
      <c r="F352" s="31"/>
      <c r="G352" s="35"/>
      <c r="H352" s="57" t="str">
        <f t="shared" si="32"/>
        <v/>
      </c>
      <c r="I352" s="57" t="str">
        <f t="shared" si="33"/>
        <v/>
      </c>
      <c r="J352" s="58" t="str">
        <f t="shared" si="34"/>
        <v/>
      </c>
      <c r="K352" s="3"/>
      <c r="L352" s="42"/>
      <c r="U352" s="179" t="str" cm="1">
        <f t="array" ref="U352">IF(C352="",INDEX(C346:C352,MATCH(TRUE,INDEX((C346:C352&lt;&gt;""),0),0)),C352)</f>
        <v>Nautical Aisia</v>
      </c>
      <c r="V352" s="180">
        <f t="shared" si="30"/>
        <v>0.85716289508135401</v>
      </c>
      <c r="W352" s="182">
        <v>20000</v>
      </c>
      <c r="X352" s="180"/>
      <c r="Y352" s="180">
        <f t="shared" si="31"/>
        <v>18333</v>
      </c>
      <c r="Z352" s="181"/>
    </row>
    <row r="353" spans="1:26" ht="25" customHeight="1" outlineLevel="1" x14ac:dyDescent="0.35">
      <c r="B353" s="125"/>
      <c r="C353" s="125"/>
      <c r="D353" s="125"/>
      <c r="E353" s="3" t="s">
        <v>110</v>
      </c>
      <c r="F353" s="31"/>
      <c r="G353" s="35"/>
      <c r="H353" s="57" t="str">
        <f t="shared" si="32"/>
        <v/>
      </c>
      <c r="I353" s="57" t="str">
        <f t="shared" si="33"/>
        <v/>
      </c>
      <c r="J353" s="58" t="str">
        <f t="shared" si="34"/>
        <v/>
      </c>
      <c r="K353" s="3"/>
      <c r="L353" s="42"/>
      <c r="U353" s="179" t="str" cm="1">
        <f t="array" ref="U353">IF(C353="",INDEX(C347:C353,MATCH(TRUE,INDEX((C347:C353&lt;&gt;""),0),0)),C353)</f>
        <v>Nautical Aisia</v>
      </c>
      <c r="V353" s="180">
        <f t="shared" si="30"/>
        <v>0.85716289508135401</v>
      </c>
      <c r="W353" s="182">
        <v>20000</v>
      </c>
      <c r="X353" s="180"/>
      <c r="Y353" s="180">
        <f t="shared" si="31"/>
        <v>18333</v>
      </c>
      <c r="Z353" s="181"/>
    </row>
    <row r="354" spans="1:26" ht="25" customHeight="1" outlineLevel="1" x14ac:dyDescent="0.35">
      <c r="B354" s="126"/>
      <c r="C354" s="126"/>
      <c r="D354" s="126"/>
      <c r="E354" s="4" t="s">
        <v>14</v>
      </c>
      <c r="F354" s="31" t="s">
        <v>32</v>
      </c>
      <c r="G354" s="39"/>
      <c r="H354" s="65" t="str">
        <f t="shared" si="32"/>
        <v/>
      </c>
      <c r="I354" s="65" t="str">
        <f t="shared" si="33"/>
        <v/>
      </c>
      <c r="J354" s="66" t="str">
        <f t="shared" si="34"/>
        <v/>
      </c>
      <c r="K354" s="4"/>
      <c r="L354" s="43"/>
      <c r="U354" s="179" t="str" cm="1">
        <f t="array" ref="U354">IF(C354="",INDEX(C348:C354,MATCH(TRUE,INDEX((C348:C354&lt;&gt;""),0),0)),C354)</f>
        <v>Nautical Aisia</v>
      </c>
      <c r="V354" s="180">
        <f t="shared" si="30"/>
        <v>0.85716289508135401</v>
      </c>
      <c r="W354" s="182">
        <v>20000</v>
      </c>
      <c r="X354" s="180"/>
      <c r="Y354" s="180">
        <f t="shared" si="31"/>
        <v>18333</v>
      </c>
      <c r="Z354" s="181"/>
    </row>
    <row r="355" spans="1:26" ht="30" customHeight="1" x14ac:dyDescent="0.35">
      <c r="B355" s="121">
        <v>60</v>
      </c>
      <c r="C355" s="121" t="s">
        <v>91</v>
      </c>
      <c r="D355" s="121" t="s">
        <v>89</v>
      </c>
      <c r="E355" s="27" t="s">
        <v>106</v>
      </c>
      <c r="F355" s="32"/>
      <c r="G355" s="37"/>
      <c r="H355" s="61" t="str">
        <f t="shared" si="32"/>
        <v/>
      </c>
      <c r="I355" s="61" t="str">
        <f t="shared" si="33"/>
        <v/>
      </c>
      <c r="J355" s="62" t="str">
        <f t="shared" si="34"/>
        <v/>
      </c>
      <c r="K355" s="6"/>
      <c r="L355" s="44"/>
      <c r="U355" s="179" t="str" cm="1">
        <f t="array" ref="U355">IF(C355="",INDEX(C349:C355,MATCH(TRUE,INDEX((C349:C355&lt;&gt;""),0),0)),C355)</f>
        <v>Nautical Anisha</v>
      </c>
      <c r="V355" s="180">
        <f t="shared" si="30"/>
        <v>0.85716289508135401</v>
      </c>
      <c r="W355" s="182">
        <v>20000</v>
      </c>
      <c r="X355" s="180"/>
      <c r="Y355" s="180">
        <f t="shared" si="31"/>
        <v>18333</v>
      </c>
      <c r="Z355" s="181"/>
    </row>
    <row r="356" spans="1:26" ht="25" customHeight="1" outlineLevel="1" x14ac:dyDescent="0.35">
      <c r="B356" s="122"/>
      <c r="C356" s="122"/>
      <c r="D356" s="122"/>
      <c r="E356" s="6" t="s">
        <v>13</v>
      </c>
      <c r="F356" s="32" t="s">
        <v>17</v>
      </c>
      <c r="G356" s="37"/>
      <c r="H356" s="61">
        <f t="shared" si="32"/>
        <v>10285.954740976249</v>
      </c>
      <c r="I356" s="61">
        <f t="shared" si="33"/>
        <v>2742.9212642603329</v>
      </c>
      <c r="J356" s="62">
        <f t="shared" si="34"/>
        <v>54.858425285206657</v>
      </c>
      <c r="K356" s="6"/>
      <c r="L356" s="45"/>
      <c r="U356" s="179" t="str" cm="1">
        <f t="array" ref="U356">IF(C356="",INDEX(C350:C356,MATCH(TRUE,INDEX((C350:C356&lt;&gt;""),0),0)),C356)</f>
        <v>Nautical Anisha</v>
      </c>
      <c r="V356" s="180">
        <f t="shared" si="30"/>
        <v>0.85716289508135401</v>
      </c>
      <c r="W356" s="182">
        <v>20000</v>
      </c>
      <c r="X356" s="180"/>
      <c r="Y356" s="180">
        <f t="shared" si="31"/>
        <v>18333</v>
      </c>
      <c r="Z356" s="181"/>
    </row>
    <row r="357" spans="1:26" ht="25" customHeight="1" outlineLevel="1" x14ac:dyDescent="0.35">
      <c r="B357" s="122"/>
      <c r="C357" s="122"/>
      <c r="D357" s="122"/>
      <c r="E357" s="6" t="s">
        <v>114</v>
      </c>
      <c r="F357" s="32" t="s">
        <v>32</v>
      </c>
      <c r="G357" s="37"/>
      <c r="H357" s="61" t="str">
        <f t="shared" si="32"/>
        <v/>
      </c>
      <c r="I357" s="61" t="str">
        <f t="shared" si="33"/>
        <v/>
      </c>
      <c r="J357" s="62" t="str">
        <f t="shared" si="34"/>
        <v/>
      </c>
      <c r="K357" s="6"/>
      <c r="L357" s="45"/>
      <c r="U357" s="179" t="str" cm="1">
        <f t="array" ref="U357">IF(C357="",INDEX(C351:C357,MATCH(TRUE,INDEX((C351:C357&lt;&gt;""),0),0)),C357)</f>
        <v>Nautical Anisha</v>
      </c>
      <c r="V357" s="180">
        <f t="shared" si="30"/>
        <v>0.85716289508135401</v>
      </c>
      <c r="W357" s="182">
        <v>20000</v>
      </c>
      <c r="X357" s="180"/>
      <c r="Y357" s="180">
        <f t="shared" si="31"/>
        <v>18333</v>
      </c>
      <c r="Z357" s="181"/>
    </row>
    <row r="358" spans="1:26" ht="25" customHeight="1" outlineLevel="1" x14ac:dyDescent="0.35">
      <c r="B358" s="122"/>
      <c r="C358" s="122"/>
      <c r="D358" s="122"/>
      <c r="E358" s="6" t="s">
        <v>113</v>
      </c>
      <c r="F358" s="32"/>
      <c r="G358" s="37"/>
      <c r="H358" s="61" t="str">
        <f t="shared" si="32"/>
        <v/>
      </c>
      <c r="I358" s="61" t="str">
        <f t="shared" si="33"/>
        <v/>
      </c>
      <c r="J358" s="62" t="str">
        <f t="shared" si="34"/>
        <v/>
      </c>
      <c r="K358" s="6"/>
      <c r="L358" s="45"/>
      <c r="U358" s="179" t="str" cm="1">
        <f t="array" ref="U358">IF(C358="",INDEX(C352:C358,MATCH(TRUE,INDEX((C352:C358&lt;&gt;""),0),0)),C358)</f>
        <v>Nautical Anisha</v>
      </c>
      <c r="V358" s="180">
        <f t="shared" si="30"/>
        <v>0.85716289508135401</v>
      </c>
      <c r="W358" s="182">
        <v>20000</v>
      </c>
      <c r="X358" s="180"/>
      <c r="Y358" s="180">
        <f t="shared" si="31"/>
        <v>18333</v>
      </c>
      <c r="Z358" s="181"/>
    </row>
    <row r="359" spans="1:26" ht="25" customHeight="1" outlineLevel="1" x14ac:dyDescent="0.35">
      <c r="B359" s="122"/>
      <c r="C359" s="122"/>
      <c r="D359" s="122"/>
      <c r="E359" s="6" t="s">
        <v>110</v>
      </c>
      <c r="F359" s="32"/>
      <c r="G359" s="37"/>
      <c r="H359" s="61" t="str">
        <f t="shared" si="32"/>
        <v/>
      </c>
      <c r="I359" s="61" t="str">
        <f t="shared" si="33"/>
        <v/>
      </c>
      <c r="J359" s="62" t="str">
        <f t="shared" si="34"/>
        <v/>
      </c>
      <c r="K359" s="6"/>
      <c r="L359" s="45"/>
      <c r="U359" s="179" t="str" cm="1">
        <f t="array" ref="U359">IF(C359="",INDEX(C353:C359,MATCH(TRUE,INDEX((C353:C359&lt;&gt;""),0),0)),C359)</f>
        <v>Nautical Anisha</v>
      </c>
      <c r="V359" s="180">
        <f t="shared" si="30"/>
        <v>0.85716289508135401</v>
      </c>
      <c r="W359" s="182">
        <v>20000</v>
      </c>
      <c r="X359" s="180"/>
      <c r="Y359" s="180">
        <f t="shared" si="31"/>
        <v>18333</v>
      </c>
      <c r="Z359" s="181"/>
    </row>
    <row r="360" spans="1:26" ht="25" customHeight="1" outlineLevel="1" x14ac:dyDescent="0.35">
      <c r="B360" s="123"/>
      <c r="C360" s="123"/>
      <c r="D360" s="123"/>
      <c r="E360" s="7" t="s">
        <v>14</v>
      </c>
      <c r="F360" s="32" t="s">
        <v>32</v>
      </c>
      <c r="G360" s="37"/>
      <c r="H360" s="61" t="str">
        <f t="shared" si="32"/>
        <v/>
      </c>
      <c r="I360" s="61" t="str">
        <f t="shared" si="33"/>
        <v/>
      </c>
      <c r="J360" s="62" t="str">
        <f t="shared" si="34"/>
        <v/>
      </c>
      <c r="K360" s="6"/>
      <c r="L360" s="46"/>
      <c r="U360" s="179" t="str" cm="1">
        <f t="array" ref="U360">IF(C360="",INDEX(C354:C360,MATCH(TRUE,INDEX((C354:C360&lt;&gt;""),0),0)),C360)</f>
        <v>Nautical Anisha</v>
      </c>
      <c r="V360" s="180">
        <f t="shared" si="30"/>
        <v>0.85716289508135401</v>
      </c>
      <c r="W360" s="182">
        <v>20000</v>
      </c>
      <c r="X360" s="180"/>
      <c r="Y360" s="180">
        <f t="shared" si="31"/>
        <v>18333</v>
      </c>
      <c r="Z360" s="181"/>
    </row>
    <row r="361" spans="1:26" ht="30" customHeight="1" x14ac:dyDescent="0.35">
      <c r="B361" s="124">
        <v>61</v>
      </c>
      <c r="C361" s="124" t="s">
        <v>92</v>
      </c>
      <c r="D361" s="124" t="s">
        <v>89</v>
      </c>
      <c r="E361" s="26" t="s">
        <v>106</v>
      </c>
      <c r="F361" s="31"/>
      <c r="G361" s="34"/>
      <c r="H361" s="55" t="str">
        <f t="shared" si="32"/>
        <v/>
      </c>
      <c r="I361" s="55" t="str">
        <f t="shared" si="33"/>
        <v/>
      </c>
      <c r="J361" s="56" t="str">
        <f t="shared" si="34"/>
        <v/>
      </c>
      <c r="K361" s="2"/>
      <c r="L361" s="42"/>
      <c r="U361" s="179" t="str" cm="1">
        <f t="array" ref="U361">IF(C361="",INDEX(C355:C361,MATCH(TRUE,INDEX((C355:C361&lt;&gt;""),0),0)),C361)</f>
        <v>Paragon Sentinel</v>
      </c>
      <c r="V361" s="180">
        <f t="shared" si="30"/>
        <v>0.85716289508135401</v>
      </c>
      <c r="W361" s="182">
        <v>20000</v>
      </c>
      <c r="X361" s="180"/>
      <c r="Y361" s="180">
        <f t="shared" si="31"/>
        <v>18333</v>
      </c>
      <c r="Z361" s="181"/>
    </row>
    <row r="362" spans="1:26" ht="25" customHeight="1" outlineLevel="1" x14ac:dyDescent="0.35">
      <c r="B362" s="125"/>
      <c r="C362" s="125"/>
      <c r="D362" s="125"/>
      <c r="E362" s="3" t="s">
        <v>13</v>
      </c>
      <c r="F362" s="31"/>
      <c r="G362" s="35"/>
      <c r="H362" s="57" t="str">
        <f t="shared" si="32"/>
        <v/>
      </c>
      <c r="I362" s="57" t="str">
        <f t="shared" si="33"/>
        <v/>
      </c>
      <c r="J362" s="58" t="str">
        <f t="shared" si="34"/>
        <v/>
      </c>
      <c r="K362" s="3"/>
      <c r="L362" s="42"/>
      <c r="U362" s="179" t="str" cm="1">
        <f t="array" ref="U362">IF(C362="",INDEX(C356:C362,MATCH(TRUE,INDEX((C356:C362&lt;&gt;""),0),0)),C362)</f>
        <v>Paragon Sentinel</v>
      </c>
      <c r="V362" s="180">
        <f t="shared" si="30"/>
        <v>0.85716289508135401</v>
      </c>
      <c r="W362" s="182">
        <v>20000</v>
      </c>
      <c r="X362" s="180"/>
      <c r="Y362" s="180">
        <f t="shared" si="31"/>
        <v>18333</v>
      </c>
      <c r="Z362" s="181"/>
    </row>
    <row r="363" spans="1:26" ht="25" customHeight="1" outlineLevel="1" x14ac:dyDescent="0.35">
      <c r="B363" s="125"/>
      <c r="C363" s="125"/>
      <c r="D363" s="125"/>
      <c r="E363" s="3" t="s">
        <v>114</v>
      </c>
      <c r="F363" s="31"/>
      <c r="G363" s="35"/>
      <c r="H363" s="57" t="str">
        <f t="shared" si="32"/>
        <v/>
      </c>
      <c r="I363" s="57" t="str">
        <f t="shared" si="33"/>
        <v/>
      </c>
      <c r="J363" s="58" t="str">
        <f t="shared" si="34"/>
        <v/>
      </c>
      <c r="K363" s="3"/>
      <c r="L363" s="42"/>
      <c r="U363" s="179" t="str" cm="1">
        <f t="array" ref="U363">IF(C363="",INDEX(C357:C363,MATCH(TRUE,INDEX((C357:C363&lt;&gt;""),0),0)),C363)</f>
        <v>Paragon Sentinel</v>
      </c>
      <c r="V363" s="180">
        <f t="shared" si="30"/>
        <v>0.85716289508135401</v>
      </c>
      <c r="W363" s="182">
        <v>20000</v>
      </c>
      <c r="X363" s="180"/>
      <c r="Y363" s="180">
        <f t="shared" si="31"/>
        <v>18333</v>
      </c>
      <c r="Z363" s="181"/>
    </row>
    <row r="364" spans="1:26" ht="25" customHeight="1" outlineLevel="1" x14ac:dyDescent="0.35">
      <c r="B364" s="125"/>
      <c r="C364" s="125"/>
      <c r="D364" s="125"/>
      <c r="E364" s="3" t="s">
        <v>113</v>
      </c>
      <c r="F364" s="31"/>
      <c r="G364" s="35"/>
      <c r="H364" s="57" t="str">
        <f t="shared" si="32"/>
        <v/>
      </c>
      <c r="I364" s="57" t="str">
        <f t="shared" si="33"/>
        <v/>
      </c>
      <c r="J364" s="58" t="str">
        <f t="shared" si="34"/>
        <v/>
      </c>
      <c r="K364" s="3"/>
      <c r="L364" s="42"/>
      <c r="U364" s="179" t="str" cm="1">
        <f t="array" ref="U364">IF(C364="",INDEX(C358:C364,MATCH(TRUE,INDEX((C358:C364&lt;&gt;""),0),0)),C364)</f>
        <v>Paragon Sentinel</v>
      </c>
      <c r="V364" s="180">
        <f t="shared" si="30"/>
        <v>0.85716289508135401</v>
      </c>
      <c r="W364" s="182">
        <v>20000</v>
      </c>
      <c r="X364" s="180"/>
      <c r="Y364" s="180">
        <f t="shared" si="31"/>
        <v>18333</v>
      </c>
      <c r="Z364" s="181"/>
    </row>
    <row r="365" spans="1:26" ht="25" customHeight="1" outlineLevel="1" x14ac:dyDescent="0.35">
      <c r="B365" s="125"/>
      <c r="C365" s="125"/>
      <c r="D365" s="125"/>
      <c r="E365" s="3" t="s">
        <v>110</v>
      </c>
      <c r="F365" s="31"/>
      <c r="G365" s="35"/>
      <c r="H365" s="57" t="str">
        <f t="shared" si="32"/>
        <v/>
      </c>
      <c r="I365" s="57" t="str">
        <f t="shared" si="33"/>
        <v/>
      </c>
      <c r="J365" s="58" t="str">
        <f t="shared" si="34"/>
        <v/>
      </c>
      <c r="K365" s="3"/>
      <c r="L365" s="42"/>
      <c r="U365" s="179" t="str" cm="1">
        <f t="array" ref="U365">IF(C365="",INDEX(C359:C365,MATCH(TRUE,INDEX((C359:C365&lt;&gt;""),0),0)),C365)</f>
        <v>Paragon Sentinel</v>
      </c>
      <c r="V365" s="180">
        <f t="shared" si="30"/>
        <v>0.85716289508135401</v>
      </c>
      <c r="W365" s="182">
        <v>20000</v>
      </c>
      <c r="X365" s="180"/>
      <c r="Y365" s="180">
        <f t="shared" si="31"/>
        <v>18333</v>
      </c>
      <c r="Z365" s="181"/>
    </row>
    <row r="366" spans="1:26" ht="25" customHeight="1" outlineLevel="1" x14ac:dyDescent="0.35">
      <c r="B366" s="126"/>
      <c r="C366" s="126"/>
      <c r="D366" s="126"/>
      <c r="E366" s="4" t="s">
        <v>14</v>
      </c>
      <c r="F366" s="31" t="s">
        <v>21</v>
      </c>
      <c r="G366" s="39"/>
      <c r="H366" s="65" t="str">
        <f t="shared" si="32"/>
        <v/>
      </c>
      <c r="I366" s="65" t="str">
        <f t="shared" si="33"/>
        <v/>
      </c>
      <c r="J366" s="66" t="str">
        <f t="shared" si="34"/>
        <v/>
      </c>
      <c r="K366" s="4"/>
      <c r="L366" s="42"/>
      <c r="U366" s="179" t="str" cm="1">
        <f t="array" ref="U366">IF(C366="",INDEX(C360:C366,MATCH(TRUE,INDEX((C360:C366&lt;&gt;""),0),0)),C366)</f>
        <v>Paragon Sentinel</v>
      </c>
      <c r="V366" s="180">
        <f t="shared" si="30"/>
        <v>0.85716289508135401</v>
      </c>
      <c r="W366" s="182">
        <v>20000</v>
      </c>
      <c r="X366" s="180"/>
      <c r="Y366" s="180">
        <f t="shared" si="31"/>
        <v>18333</v>
      </c>
      <c r="Z366" s="181"/>
    </row>
    <row r="367" spans="1:26" ht="30" customHeight="1" x14ac:dyDescent="0.35">
      <c r="A367" s="8" t="s">
        <v>140</v>
      </c>
      <c r="B367" s="121">
        <v>62</v>
      </c>
      <c r="C367" s="121" t="s">
        <v>100</v>
      </c>
      <c r="D367" s="121" t="s">
        <v>89</v>
      </c>
      <c r="E367" s="27" t="s">
        <v>106</v>
      </c>
      <c r="F367" s="32"/>
      <c r="G367" s="37"/>
      <c r="H367" s="61" t="str">
        <f t="shared" si="32"/>
        <v/>
      </c>
      <c r="I367" s="61" t="str">
        <f t="shared" si="33"/>
        <v/>
      </c>
      <c r="J367" s="62" t="str">
        <f t="shared" si="34"/>
        <v/>
      </c>
      <c r="K367" s="6"/>
      <c r="L367" s="44"/>
      <c r="U367" s="179" t="str" cm="1">
        <f t="array" ref="U367">IF(C367="",INDEX(C361:C367,MATCH(TRUE,INDEX((C361:C367&lt;&gt;""),0),0)),C367)</f>
        <v>BOS Tramontana</v>
      </c>
      <c r="V367" s="180">
        <f t="shared" si="30"/>
        <v>0.28155975313259773</v>
      </c>
      <c r="W367" s="180">
        <v>5000</v>
      </c>
      <c r="X367" s="180"/>
      <c r="Y367" s="180">
        <f t="shared" si="31"/>
        <v>6022</v>
      </c>
      <c r="Z367" s="181"/>
    </row>
    <row r="368" spans="1:26" ht="25" customHeight="1" outlineLevel="1" x14ac:dyDescent="0.35">
      <c r="B368" s="122"/>
      <c r="C368" s="122"/>
      <c r="D368" s="122"/>
      <c r="E368" s="6" t="s">
        <v>13</v>
      </c>
      <c r="F368" s="32" t="s">
        <v>32</v>
      </c>
      <c r="G368" s="37"/>
      <c r="H368" s="61" t="str">
        <f t="shared" si="32"/>
        <v/>
      </c>
      <c r="I368" s="61" t="str">
        <f t="shared" si="33"/>
        <v/>
      </c>
      <c r="J368" s="62" t="str">
        <f t="shared" si="34"/>
        <v/>
      </c>
      <c r="K368" s="6"/>
      <c r="L368" s="45"/>
      <c r="U368" s="179" t="str" cm="1">
        <f t="array" ref="U368">IF(C368="",INDEX(C362:C368,MATCH(TRUE,INDEX((C362:C368&lt;&gt;""),0),0)),C368)</f>
        <v>BOS Tramontana</v>
      </c>
      <c r="V368" s="180">
        <f t="shared" si="30"/>
        <v>0.28155975313259773</v>
      </c>
      <c r="W368" s="180">
        <v>5000</v>
      </c>
      <c r="X368" s="180"/>
      <c r="Y368" s="180">
        <f t="shared" si="31"/>
        <v>6022</v>
      </c>
      <c r="Z368" s="181"/>
    </row>
    <row r="369" spans="1:26" ht="25" customHeight="1" outlineLevel="1" x14ac:dyDescent="0.35">
      <c r="B369" s="122"/>
      <c r="C369" s="122"/>
      <c r="D369" s="122"/>
      <c r="E369" s="6" t="s">
        <v>114</v>
      </c>
      <c r="F369" s="32" t="s">
        <v>21</v>
      </c>
      <c r="G369" s="37"/>
      <c r="H369" s="61" t="str">
        <f t="shared" si="32"/>
        <v/>
      </c>
      <c r="I369" s="61" t="str">
        <f t="shared" si="33"/>
        <v/>
      </c>
      <c r="J369" s="62" t="str">
        <f t="shared" si="34"/>
        <v/>
      </c>
      <c r="K369" s="6"/>
      <c r="L369" s="45"/>
      <c r="U369" s="179" t="str" cm="1">
        <f t="array" ref="U369">IF(C369="",INDEX(C363:C369,MATCH(TRUE,INDEX((C363:C369&lt;&gt;""),0),0)),C369)</f>
        <v>BOS Tramontana</v>
      </c>
      <c r="V369" s="180">
        <f t="shared" si="30"/>
        <v>0.28155975313259773</v>
      </c>
      <c r="W369" s="180">
        <v>5000</v>
      </c>
      <c r="X369" s="180"/>
      <c r="Y369" s="180">
        <f t="shared" si="31"/>
        <v>6022</v>
      </c>
      <c r="Z369" s="181"/>
    </row>
    <row r="370" spans="1:26" ht="25" customHeight="1" outlineLevel="1" x14ac:dyDescent="0.35">
      <c r="B370" s="122"/>
      <c r="C370" s="122"/>
      <c r="D370" s="122"/>
      <c r="E370" s="6" t="s">
        <v>113</v>
      </c>
      <c r="F370" s="32" t="s">
        <v>32</v>
      </c>
      <c r="G370" s="37"/>
      <c r="H370" s="61" t="str">
        <f t="shared" si="32"/>
        <v/>
      </c>
      <c r="I370" s="61" t="str">
        <f t="shared" si="33"/>
        <v/>
      </c>
      <c r="J370" s="62" t="str">
        <f t="shared" si="34"/>
        <v/>
      </c>
      <c r="K370" s="6"/>
      <c r="L370" s="45"/>
      <c r="U370" s="179" t="str" cm="1">
        <f t="array" ref="U370">IF(C370="",INDEX(C364:C370,MATCH(TRUE,INDEX((C364:C370&lt;&gt;""),0),0)),C370)</f>
        <v>BOS Tramontana</v>
      </c>
      <c r="V370" s="180">
        <f t="shared" si="30"/>
        <v>0.28155975313259773</v>
      </c>
      <c r="W370" s="180">
        <v>5000</v>
      </c>
      <c r="X370" s="180"/>
      <c r="Y370" s="180">
        <f t="shared" si="31"/>
        <v>6022</v>
      </c>
      <c r="Z370" s="181"/>
    </row>
    <row r="371" spans="1:26" ht="25" customHeight="1" outlineLevel="1" x14ac:dyDescent="0.35">
      <c r="B371" s="122"/>
      <c r="C371" s="122"/>
      <c r="D371" s="122"/>
      <c r="E371" s="6" t="s">
        <v>110</v>
      </c>
      <c r="F371" s="32" t="s">
        <v>21</v>
      </c>
      <c r="G371" s="37"/>
      <c r="H371" s="61" t="str">
        <f t="shared" si="32"/>
        <v/>
      </c>
      <c r="I371" s="61" t="str">
        <f t="shared" si="33"/>
        <v/>
      </c>
      <c r="J371" s="62" t="str">
        <f t="shared" si="34"/>
        <v/>
      </c>
      <c r="K371" s="6"/>
      <c r="L371" s="45"/>
      <c r="U371" s="179" t="str" cm="1">
        <f t="array" ref="U371">IF(C371="",INDEX(C365:C371,MATCH(TRUE,INDEX((C365:C371&lt;&gt;""),0),0)),C371)</f>
        <v>BOS Tramontana</v>
      </c>
      <c r="V371" s="180">
        <f t="shared" si="30"/>
        <v>0.28155975313259773</v>
      </c>
      <c r="W371" s="180">
        <v>5000</v>
      </c>
      <c r="X371" s="180"/>
      <c r="Y371" s="180">
        <f t="shared" si="31"/>
        <v>6022</v>
      </c>
      <c r="Z371" s="181"/>
    </row>
    <row r="372" spans="1:26" ht="25" customHeight="1" outlineLevel="1" x14ac:dyDescent="0.35">
      <c r="B372" s="123"/>
      <c r="C372" s="123"/>
      <c r="D372" s="123"/>
      <c r="E372" s="7" t="s">
        <v>14</v>
      </c>
      <c r="F372" s="32" t="s">
        <v>21</v>
      </c>
      <c r="G372" s="37"/>
      <c r="H372" s="61" t="str">
        <f t="shared" si="32"/>
        <v/>
      </c>
      <c r="I372" s="61" t="str">
        <f t="shared" si="33"/>
        <v/>
      </c>
      <c r="J372" s="62" t="str">
        <f t="shared" si="34"/>
        <v/>
      </c>
      <c r="K372" s="6"/>
      <c r="L372" s="46"/>
      <c r="U372" s="179" t="str" cm="1">
        <f t="array" ref="U372">IF(C372="",INDEX(C366:C372,MATCH(TRUE,INDEX((C366:C372&lt;&gt;""),0),0)),C372)</f>
        <v>BOS Tramontana</v>
      </c>
      <c r="V372" s="180">
        <f t="shared" si="30"/>
        <v>0.28155975313259773</v>
      </c>
      <c r="W372" s="180">
        <v>5000</v>
      </c>
      <c r="X372" s="180"/>
      <c r="Y372" s="180">
        <f t="shared" si="31"/>
        <v>6022</v>
      </c>
      <c r="Z372" s="181"/>
    </row>
    <row r="373" spans="1:26" ht="30" customHeight="1" x14ac:dyDescent="0.35">
      <c r="B373" s="124">
        <v>63</v>
      </c>
      <c r="C373" s="124" t="s">
        <v>93</v>
      </c>
      <c r="D373" s="124" t="s">
        <v>12</v>
      </c>
      <c r="E373" s="26" t="s">
        <v>106</v>
      </c>
      <c r="F373" s="31"/>
      <c r="G373" s="34"/>
      <c r="H373" s="55" t="str">
        <f t="shared" si="32"/>
        <v/>
      </c>
      <c r="I373" s="55" t="str">
        <f t="shared" si="33"/>
        <v/>
      </c>
      <c r="J373" s="56" t="str">
        <f t="shared" si="34"/>
        <v/>
      </c>
      <c r="K373" s="2"/>
      <c r="L373" s="41"/>
      <c r="U373" s="179" t="str" cm="1">
        <f t="array" ref="U373">IF(C373="",INDEX(C367:C373,MATCH(TRUE,INDEX((C367:C373&lt;&gt;""),0),0)),C373)</f>
        <v>Britoil 57</v>
      </c>
      <c r="V373" s="180">
        <f t="shared" si="30"/>
        <v>0.71427903497288203</v>
      </c>
      <c r="W373" s="182">
        <v>20000</v>
      </c>
      <c r="X373" s="180"/>
      <c r="Y373" s="180">
        <f t="shared" si="31"/>
        <v>15277</v>
      </c>
      <c r="Z373" s="181"/>
    </row>
    <row r="374" spans="1:26" ht="25" customHeight="1" outlineLevel="1" x14ac:dyDescent="0.35">
      <c r="B374" s="125"/>
      <c r="C374" s="125"/>
      <c r="D374" s="125"/>
      <c r="E374" s="3" t="s">
        <v>13</v>
      </c>
      <c r="F374" s="31"/>
      <c r="G374" s="35"/>
      <c r="H374" s="57" t="str">
        <f t="shared" si="32"/>
        <v/>
      </c>
      <c r="I374" s="57" t="str">
        <f t="shared" si="33"/>
        <v/>
      </c>
      <c r="J374" s="58" t="str">
        <f t="shared" si="34"/>
        <v/>
      </c>
      <c r="K374" s="3"/>
      <c r="L374" s="42"/>
      <c r="U374" s="179" t="str" cm="1">
        <f t="array" ref="U374">IF(C374="",INDEX(C368:C374,MATCH(TRUE,INDEX((C368:C374&lt;&gt;""),0),0)),C374)</f>
        <v>Britoil 57</v>
      </c>
      <c r="V374" s="180">
        <f t="shared" si="30"/>
        <v>0.71427903497288203</v>
      </c>
      <c r="W374" s="182">
        <v>20000</v>
      </c>
      <c r="X374" s="180"/>
      <c r="Y374" s="180">
        <f t="shared" si="31"/>
        <v>15277</v>
      </c>
      <c r="Z374" s="181"/>
    </row>
    <row r="375" spans="1:26" ht="25" customHeight="1" outlineLevel="1" x14ac:dyDescent="0.35">
      <c r="B375" s="125"/>
      <c r="C375" s="125"/>
      <c r="D375" s="125"/>
      <c r="E375" s="3" t="s">
        <v>114</v>
      </c>
      <c r="F375" s="31"/>
      <c r="G375" s="35"/>
      <c r="H375" s="57" t="str">
        <f t="shared" si="32"/>
        <v/>
      </c>
      <c r="I375" s="57" t="str">
        <f t="shared" si="33"/>
        <v/>
      </c>
      <c r="J375" s="58" t="str">
        <f t="shared" si="34"/>
        <v/>
      </c>
      <c r="K375" s="3"/>
      <c r="L375" s="42"/>
      <c r="U375" s="179" t="str" cm="1">
        <f t="array" ref="U375">IF(C375="",INDEX(C369:C375,MATCH(TRUE,INDEX((C369:C375&lt;&gt;""),0),0)),C375)</f>
        <v>Britoil 57</v>
      </c>
      <c r="V375" s="180">
        <f t="shared" si="30"/>
        <v>0.71427903497288203</v>
      </c>
      <c r="W375" s="182">
        <v>20000</v>
      </c>
      <c r="X375" s="180"/>
      <c r="Y375" s="180">
        <f t="shared" si="31"/>
        <v>15277</v>
      </c>
      <c r="Z375" s="181"/>
    </row>
    <row r="376" spans="1:26" ht="25" customHeight="1" outlineLevel="1" x14ac:dyDescent="0.35">
      <c r="B376" s="125"/>
      <c r="C376" s="125"/>
      <c r="D376" s="125"/>
      <c r="E376" s="3" t="s">
        <v>113</v>
      </c>
      <c r="F376" s="31"/>
      <c r="G376" s="35"/>
      <c r="H376" s="57" t="str">
        <f t="shared" si="32"/>
        <v/>
      </c>
      <c r="I376" s="57" t="str">
        <f t="shared" si="33"/>
        <v/>
      </c>
      <c r="J376" s="58" t="str">
        <f t="shared" si="34"/>
        <v/>
      </c>
      <c r="K376" s="3"/>
      <c r="L376" s="42"/>
      <c r="U376" s="179" t="str" cm="1">
        <f t="array" ref="U376">IF(C376="",INDEX(C370:C376,MATCH(TRUE,INDEX((C370:C376&lt;&gt;""),0),0)),C376)</f>
        <v>Britoil 57</v>
      </c>
      <c r="V376" s="180">
        <f t="shared" si="30"/>
        <v>0.71427903497288203</v>
      </c>
      <c r="W376" s="182">
        <v>20000</v>
      </c>
      <c r="X376" s="180"/>
      <c r="Y376" s="180">
        <f t="shared" si="31"/>
        <v>15277</v>
      </c>
      <c r="Z376" s="181"/>
    </row>
    <row r="377" spans="1:26" ht="25" customHeight="1" outlineLevel="1" x14ac:dyDescent="0.35">
      <c r="B377" s="125"/>
      <c r="C377" s="125"/>
      <c r="D377" s="125"/>
      <c r="E377" s="3" t="s">
        <v>110</v>
      </c>
      <c r="F377" s="31"/>
      <c r="G377" s="35"/>
      <c r="H377" s="57" t="str">
        <f t="shared" si="32"/>
        <v/>
      </c>
      <c r="I377" s="57" t="str">
        <f t="shared" si="33"/>
        <v/>
      </c>
      <c r="J377" s="58" t="str">
        <f t="shared" si="34"/>
        <v/>
      </c>
      <c r="K377" s="3"/>
      <c r="L377" s="42"/>
      <c r="U377" s="179" t="str" cm="1">
        <f t="array" ref="U377">IF(C377="",INDEX(C371:C377,MATCH(TRUE,INDEX((C371:C377&lt;&gt;""),0),0)),C377)</f>
        <v>Britoil 57</v>
      </c>
      <c r="V377" s="180">
        <f t="shared" si="30"/>
        <v>0.71427903497288203</v>
      </c>
      <c r="W377" s="182">
        <v>20000</v>
      </c>
      <c r="X377" s="180"/>
      <c r="Y377" s="180">
        <f t="shared" si="31"/>
        <v>15277</v>
      </c>
      <c r="Z377" s="181"/>
    </row>
    <row r="378" spans="1:26" ht="25" customHeight="1" outlineLevel="1" x14ac:dyDescent="0.35">
      <c r="B378" s="126"/>
      <c r="C378" s="126"/>
      <c r="D378" s="126"/>
      <c r="E378" s="4" t="s">
        <v>14</v>
      </c>
      <c r="F378" s="31" t="s">
        <v>21</v>
      </c>
      <c r="G378" s="39"/>
      <c r="H378" s="65" t="str">
        <f t="shared" si="32"/>
        <v/>
      </c>
      <c r="I378" s="65" t="str">
        <f t="shared" si="33"/>
        <v/>
      </c>
      <c r="J378" s="66" t="str">
        <f t="shared" si="34"/>
        <v/>
      </c>
      <c r="K378" s="4"/>
      <c r="L378" s="43"/>
      <c r="U378" s="179" t="str" cm="1">
        <f t="array" ref="U378">IF(C378="",INDEX(C372:C378,MATCH(TRUE,INDEX((C372:C378&lt;&gt;""),0),0)),C378)</f>
        <v>Britoil 57</v>
      </c>
      <c r="V378" s="180">
        <f t="shared" si="30"/>
        <v>0.71427903497288203</v>
      </c>
      <c r="W378" s="182">
        <v>20000</v>
      </c>
      <c r="X378" s="180"/>
      <c r="Y378" s="180">
        <f t="shared" si="31"/>
        <v>15277</v>
      </c>
      <c r="Z378" s="181"/>
    </row>
    <row r="379" spans="1:26" ht="30" customHeight="1" x14ac:dyDescent="0.35">
      <c r="A379" s="8" t="s">
        <v>140</v>
      </c>
      <c r="B379" s="121">
        <v>64</v>
      </c>
      <c r="C379" s="121" t="s">
        <v>94</v>
      </c>
      <c r="D379" s="121" t="s">
        <v>95</v>
      </c>
      <c r="E379" s="27" t="s">
        <v>106</v>
      </c>
      <c r="F379" s="32"/>
      <c r="G379" s="37"/>
      <c r="H379" s="61" t="str">
        <f t="shared" si="32"/>
        <v/>
      </c>
      <c r="I379" s="61" t="str">
        <f t="shared" si="33"/>
        <v/>
      </c>
      <c r="J379" s="62" t="str">
        <f t="shared" si="34"/>
        <v/>
      </c>
      <c r="K379" s="6"/>
      <c r="L379" s="44"/>
      <c r="U379" s="179" t="str" cm="1">
        <f t="array" ref="U379">IF(C379="",INDEX(C373:C379,MATCH(TRUE,INDEX((C373:C379&lt;&gt;""),0),0)),C379)</f>
        <v>BOS Defiance</v>
      </c>
      <c r="V379" s="180">
        <f t="shared" si="30"/>
        <v>1.1428838601084721</v>
      </c>
      <c r="W379" s="180">
        <v>22000</v>
      </c>
      <c r="X379" s="183" t="s">
        <v>167</v>
      </c>
      <c r="Y379" s="180">
        <f t="shared" si="31"/>
        <v>24444</v>
      </c>
      <c r="Z379" s="181"/>
    </row>
    <row r="380" spans="1:26" ht="25" customHeight="1" outlineLevel="1" x14ac:dyDescent="0.35">
      <c r="B380" s="122"/>
      <c r="C380" s="122"/>
      <c r="D380" s="122"/>
      <c r="E380" s="6" t="s">
        <v>13</v>
      </c>
      <c r="F380" s="32" t="s">
        <v>17</v>
      </c>
      <c r="G380" s="37"/>
      <c r="H380" s="61">
        <f t="shared" si="32"/>
        <v>13714.606321301666</v>
      </c>
      <c r="I380" s="61">
        <f t="shared" si="33"/>
        <v>3657.2283523471106</v>
      </c>
      <c r="J380" s="62">
        <f t="shared" si="34"/>
        <v>73.144567046942214</v>
      </c>
      <c r="K380" s="6"/>
      <c r="L380" s="45"/>
      <c r="U380" s="179" t="str" cm="1">
        <f t="array" ref="U380">IF(C380="",INDEX(C374:C380,MATCH(TRUE,INDEX((C374:C380&lt;&gt;""),0),0)),C380)</f>
        <v>BOS Defiance</v>
      </c>
      <c r="V380" s="180">
        <f t="shared" si="30"/>
        <v>1.1428838601084721</v>
      </c>
      <c r="W380" s="180">
        <v>22000</v>
      </c>
      <c r="X380" s="180"/>
      <c r="Y380" s="180">
        <f t="shared" si="31"/>
        <v>24444</v>
      </c>
      <c r="Z380" s="181"/>
    </row>
    <row r="381" spans="1:26" ht="25" customHeight="1" outlineLevel="1" x14ac:dyDescent="0.35">
      <c r="B381" s="122"/>
      <c r="C381" s="122"/>
      <c r="D381" s="122"/>
      <c r="E381" s="6" t="s">
        <v>107</v>
      </c>
      <c r="F381" s="32" t="s">
        <v>17</v>
      </c>
      <c r="G381" s="37">
        <v>45708</v>
      </c>
      <c r="H381" s="61">
        <f t="shared" si="32"/>
        <v>0</v>
      </c>
      <c r="I381" s="61">
        <f t="shared" si="33"/>
        <v>5714.4193005423604</v>
      </c>
      <c r="J381" s="62">
        <f t="shared" si="34"/>
        <v>0</v>
      </c>
      <c r="K381" s="6"/>
      <c r="L381" s="45" t="s">
        <v>131</v>
      </c>
      <c r="U381" s="179" t="str" cm="1">
        <f t="array" ref="U381">IF(C381="",INDEX(C375:C381,MATCH(TRUE,INDEX((C375:C381&lt;&gt;""),0),0)),C381)</f>
        <v>BOS Defiance</v>
      </c>
      <c r="V381" s="180">
        <f t="shared" si="30"/>
        <v>1.1428838601084721</v>
      </c>
      <c r="W381" s="180">
        <v>22000</v>
      </c>
      <c r="X381" s="180"/>
      <c r="Y381" s="180">
        <f t="shared" si="31"/>
        <v>24444</v>
      </c>
      <c r="Z381" s="181"/>
    </row>
    <row r="382" spans="1:26" ht="25" customHeight="1" outlineLevel="1" x14ac:dyDescent="0.35">
      <c r="B382" s="122"/>
      <c r="C382" s="122"/>
      <c r="D382" s="122"/>
      <c r="E382" s="6" t="s">
        <v>110</v>
      </c>
      <c r="F382" s="32" t="s">
        <v>17</v>
      </c>
      <c r="G382" s="37"/>
      <c r="H382" s="61">
        <f t="shared" si="32"/>
        <v>9485.9360389003177</v>
      </c>
      <c r="I382" s="61">
        <f t="shared" si="33"/>
        <v>1142.8838601084722</v>
      </c>
      <c r="J382" s="62">
        <f t="shared" si="34"/>
        <v>51.429773704881242</v>
      </c>
      <c r="K382" s="6"/>
      <c r="L382" s="45"/>
      <c r="U382" s="179" t="str" cm="1">
        <f t="array" ref="U382">IF(C382="",INDEX(C376:C382,MATCH(TRUE,INDEX((C376:C382&lt;&gt;""),0),0)),C382)</f>
        <v>BOS Defiance</v>
      </c>
      <c r="V382" s="180">
        <f t="shared" si="30"/>
        <v>1.1428838601084721</v>
      </c>
      <c r="W382" s="180">
        <v>22000</v>
      </c>
      <c r="X382" s="180"/>
      <c r="Y382" s="180">
        <f t="shared" si="31"/>
        <v>24444</v>
      </c>
      <c r="Z382" s="181"/>
    </row>
    <row r="383" spans="1:26" ht="25" customHeight="1" outlineLevel="1" x14ac:dyDescent="0.35">
      <c r="B383" s="122"/>
      <c r="C383" s="122"/>
      <c r="D383" s="122"/>
      <c r="E383" s="6" t="s">
        <v>96</v>
      </c>
      <c r="F383" s="32" t="s">
        <v>109</v>
      </c>
      <c r="G383" s="37"/>
      <c r="H383" s="61" t="str">
        <f t="shared" si="32"/>
        <v/>
      </c>
      <c r="I383" s="61" t="str">
        <f t="shared" si="33"/>
        <v/>
      </c>
      <c r="J383" s="62" t="str">
        <f t="shared" si="34"/>
        <v/>
      </c>
      <c r="K383" s="6"/>
      <c r="L383" s="45"/>
      <c r="U383" s="179" t="str" cm="1">
        <f t="array" ref="U383">IF(C383="",INDEX(C377:C383,MATCH(TRUE,INDEX((C377:C383&lt;&gt;""),0),0)),C383)</f>
        <v>BOS Defiance</v>
      </c>
      <c r="V383" s="180">
        <f t="shared" si="30"/>
        <v>1.1428838601084721</v>
      </c>
      <c r="W383" s="180">
        <v>22000</v>
      </c>
      <c r="X383" s="180"/>
      <c r="Y383" s="180">
        <f t="shared" si="31"/>
        <v>24444</v>
      </c>
      <c r="Z383" s="181"/>
    </row>
    <row r="384" spans="1:26" ht="25" customHeight="1" outlineLevel="1" x14ac:dyDescent="0.35">
      <c r="B384" s="122"/>
      <c r="C384" s="122"/>
      <c r="D384" s="122"/>
      <c r="E384" s="6" t="s">
        <v>113</v>
      </c>
      <c r="F384" s="32" t="s">
        <v>17</v>
      </c>
      <c r="G384" s="37"/>
      <c r="H384" s="61">
        <f t="shared" si="32"/>
        <v>18286.141761735555</v>
      </c>
      <c r="I384" s="61">
        <f t="shared" si="33"/>
        <v>114.2883860108472</v>
      </c>
      <c r="J384" s="62">
        <f t="shared" si="34"/>
        <v>97.145128109220124</v>
      </c>
      <c r="K384" s="6"/>
      <c r="L384" s="45" t="s">
        <v>133</v>
      </c>
      <c r="U384" s="179" t="str" cm="1">
        <f t="array" ref="U384">IF(C384="",INDEX(C378:C384,MATCH(TRUE,INDEX((C378:C384&lt;&gt;""),0),0)),C384)</f>
        <v>BOS Defiance</v>
      </c>
      <c r="V384" s="180">
        <f t="shared" si="30"/>
        <v>1.1428838601084721</v>
      </c>
      <c r="W384" s="180">
        <v>22000</v>
      </c>
      <c r="X384" s="180"/>
      <c r="Y384" s="180">
        <f t="shared" si="31"/>
        <v>24444</v>
      </c>
      <c r="Z384" s="181"/>
    </row>
    <row r="385" spans="1:26" ht="25" customHeight="1" outlineLevel="1" x14ac:dyDescent="0.35">
      <c r="B385" s="122"/>
      <c r="C385" s="122"/>
      <c r="D385" s="122"/>
      <c r="E385" s="6" t="s">
        <v>114</v>
      </c>
      <c r="F385" s="32" t="s">
        <v>17</v>
      </c>
      <c r="G385" s="37"/>
      <c r="H385" s="61">
        <f t="shared" si="32"/>
        <v>0</v>
      </c>
      <c r="I385" s="61">
        <f t="shared" si="33"/>
        <v>114.2883860108472</v>
      </c>
      <c r="J385" s="62">
        <f t="shared" si="34"/>
        <v>0</v>
      </c>
      <c r="K385" s="6"/>
      <c r="L385" s="45"/>
      <c r="U385" s="179" t="str" cm="1">
        <f t="array" ref="U385">IF(C385="",INDEX(C379:C385,MATCH(TRUE,INDEX((C379:C385&lt;&gt;""),0),0)),C385)</f>
        <v>BOS Defiance</v>
      </c>
      <c r="V385" s="180">
        <f t="shared" si="30"/>
        <v>1.1428838601084721</v>
      </c>
      <c r="W385" s="180">
        <v>22000</v>
      </c>
      <c r="X385" s="180"/>
      <c r="Y385" s="180">
        <f t="shared" si="31"/>
        <v>24444</v>
      </c>
      <c r="Z385" s="181"/>
    </row>
    <row r="386" spans="1:26" ht="25" customHeight="1" outlineLevel="1" x14ac:dyDescent="0.35">
      <c r="B386" s="123"/>
      <c r="C386" s="123"/>
      <c r="D386" s="123"/>
      <c r="E386" s="7" t="s">
        <v>14</v>
      </c>
      <c r="F386" s="32" t="s">
        <v>17</v>
      </c>
      <c r="G386" s="37"/>
      <c r="H386" s="61">
        <f t="shared" si="32"/>
        <v>2857.2096502711802</v>
      </c>
      <c r="I386" s="61">
        <f t="shared" si="33"/>
        <v>3657.2283523471106</v>
      </c>
      <c r="J386" s="62">
        <f t="shared" si="34"/>
        <v>12.571722461193193</v>
      </c>
      <c r="K386" s="6"/>
      <c r="L386" s="46"/>
      <c r="U386" s="179" t="s">
        <v>94</v>
      </c>
      <c r="V386" s="180">
        <f t="shared" si="30"/>
        <v>1.1428838601084721</v>
      </c>
      <c r="W386" s="180">
        <v>22000</v>
      </c>
      <c r="X386" s="180"/>
      <c r="Y386" s="180">
        <f t="shared" si="31"/>
        <v>24444</v>
      </c>
      <c r="Z386" s="181"/>
    </row>
    <row r="387" spans="1:26" ht="30" customHeight="1" x14ac:dyDescent="0.35">
      <c r="A387" s="8" t="s">
        <v>140</v>
      </c>
      <c r="B387" s="124">
        <v>65</v>
      </c>
      <c r="C387" s="124" t="s">
        <v>97</v>
      </c>
      <c r="D387" s="124" t="s">
        <v>95</v>
      </c>
      <c r="E387" s="26" t="s">
        <v>106</v>
      </c>
      <c r="F387" s="31"/>
      <c r="G387" s="34"/>
      <c r="H387" s="55" t="str">
        <f t="shared" si="32"/>
        <v/>
      </c>
      <c r="I387" s="55" t="str">
        <f t="shared" si="33"/>
        <v/>
      </c>
      <c r="J387" s="56" t="str">
        <f t="shared" si="34"/>
        <v/>
      </c>
      <c r="K387" s="2"/>
      <c r="L387" s="41"/>
      <c r="U387" s="179" t="str" cm="1">
        <f t="array" ref="U387">IF(C387="",INDEX(C381:C387,MATCH(TRUE,INDEX((C381:C387&lt;&gt;""),0),0)),C387)</f>
        <v>BOS Diligance</v>
      </c>
      <c r="V387" s="180">
        <f t="shared" si="30"/>
        <v>1.1428838601084721</v>
      </c>
      <c r="W387" s="182">
        <v>20000</v>
      </c>
      <c r="X387" s="180"/>
      <c r="Y387" s="180">
        <f t="shared" si="31"/>
        <v>24444</v>
      </c>
      <c r="Z387" s="181"/>
    </row>
    <row r="388" spans="1:26" ht="25" customHeight="1" outlineLevel="1" x14ac:dyDescent="0.35">
      <c r="B388" s="125"/>
      <c r="C388" s="125"/>
      <c r="D388" s="125"/>
      <c r="E388" s="3" t="s">
        <v>13</v>
      </c>
      <c r="F388" s="31" t="s">
        <v>21</v>
      </c>
      <c r="G388" s="35"/>
      <c r="H388" s="57" t="str">
        <f t="shared" si="32"/>
        <v/>
      </c>
      <c r="I388" s="57" t="str">
        <f t="shared" si="33"/>
        <v/>
      </c>
      <c r="J388" s="58" t="str">
        <f t="shared" si="34"/>
        <v/>
      </c>
      <c r="K388" s="3"/>
      <c r="L388" s="42"/>
      <c r="U388" s="179" t="str" cm="1">
        <f t="array" ref="U388">IF(C388="",INDEX(C382:C388,MATCH(TRUE,INDEX((C382:C388&lt;&gt;""),0),0)),C388)</f>
        <v>BOS Diligance</v>
      </c>
      <c r="V388" s="180">
        <f t="shared" si="30"/>
        <v>1.1428838601084721</v>
      </c>
      <c r="W388" s="182">
        <v>20000</v>
      </c>
      <c r="X388" s="180"/>
      <c r="Y388" s="180">
        <f t="shared" si="31"/>
        <v>24444</v>
      </c>
      <c r="Z388" s="181"/>
    </row>
    <row r="389" spans="1:26" ht="25" customHeight="1" outlineLevel="1" x14ac:dyDescent="0.35">
      <c r="B389" s="125"/>
      <c r="C389" s="125"/>
      <c r="D389" s="125"/>
      <c r="E389" s="3" t="s">
        <v>107</v>
      </c>
      <c r="F389" s="31" t="s">
        <v>21</v>
      </c>
      <c r="G389" s="35"/>
      <c r="H389" s="57" t="str">
        <f t="shared" si="32"/>
        <v/>
      </c>
      <c r="I389" s="57" t="str">
        <f t="shared" si="33"/>
        <v/>
      </c>
      <c r="J389" s="58" t="str">
        <f t="shared" si="34"/>
        <v/>
      </c>
      <c r="K389" s="3"/>
      <c r="L389" s="42"/>
      <c r="U389" s="179" t="str" cm="1">
        <f t="array" ref="U389">IF(C389="",INDEX(C383:C389,MATCH(TRUE,INDEX((C383:C389&lt;&gt;""),0),0)),C389)</f>
        <v>BOS Diligance</v>
      </c>
      <c r="V389" s="180">
        <f t="shared" si="30"/>
        <v>1.1428838601084721</v>
      </c>
      <c r="W389" s="182">
        <v>20000</v>
      </c>
      <c r="X389" s="180"/>
      <c r="Y389" s="180">
        <f t="shared" si="31"/>
        <v>24444</v>
      </c>
      <c r="Z389" s="181"/>
    </row>
    <row r="390" spans="1:26" ht="25" customHeight="1" outlineLevel="1" x14ac:dyDescent="0.35">
      <c r="B390" s="125"/>
      <c r="C390" s="125"/>
      <c r="D390" s="125"/>
      <c r="E390" s="3" t="s">
        <v>110</v>
      </c>
      <c r="F390" s="31" t="s">
        <v>17</v>
      </c>
      <c r="G390" s="35"/>
      <c r="H390" s="57">
        <f t="shared" si="32"/>
        <v>9485.9360389003177</v>
      </c>
      <c r="I390" s="57">
        <f t="shared" si="33"/>
        <v>1142.8838601084722</v>
      </c>
      <c r="J390" s="58">
        <f t="shared" si="34"/>
        <v>51.429773704881242</v>
      </c>
      <c r="K390" s="3"/>
      <c r="L390" s="42"/>
      <c r="U390" s="179" t="str" cm="1">
        <f t="array" ref="U390">IF(C390="",INDEX(C384:C390,MATCH(TRUE,INDEX((C384:C390&lt;&gt;""),0),0)),C390)</f>
        <v>BOS Diligance</v>
      </c>
      <c r="V390" s="180">
        <f t="shared" si="30"/>
        <v>1.1428838601084721</v>
      </c>
      <c r="W390" s="182">
        <v>20000</v>
      </c>
      <c r="X390" s="180"/>
      <c r="Y390" s="180">
        <f t="shared" si="31"/>
        <v>24444</v>
      </c>
      <c r="Z390" s="181"/>
    </row>
    <row r="391" spans="1:26" ht="25" customHeight="1" outlineLevel="1" x14ac:dyDescent="0.35">
      <c r="B391" s="125"/>
      <c r="C391" s="125"/>
      <c r="D391" s="125"/>
      <c r="E391" s="3" t="s">
        <v>96</v>
      </c>
      <c r="F391" s="31" t="s">
        <v>21</v>
      </c>
      <c r="G391" s="35"/>
      <c r="H391" s="57" t="str">
        <f t="shared" si="32"/>
        <v/>
      </c>
      <c r="I391" s="57" t="str">
        <f t="shared" si="33"/>
        <v/>
      </c>
      <c r="J391" s="58" t="str">
        <f t="shared" si="34"/>
        <v/>
      </c>
      <c r="K391" s="3"/>
      <c r="L391" s="42"/>
      <c r="U391" s="179" t="str" cm="1">
        <f t="array" ref="U391">IF(C391="",INDEX(C385:C391,MATCH(TRUE,INDEX((C385:C391&lt;&gt;""),0),0)),C391)</f>
        <v>BOS Diligance</v>
      </c>
      <c r="V391" s="180">
        <f t="shared" si="30"/>
        <v>1.1428838601084721</v>
      </c>
      <c r="W391" s="182">
        <v>20000</v>
      </c>
      <c r="X391" s="180"/>
      <c r="Y391" s="180">
        <f t="shared" si="31"/>
        <v>24444</v>
      </c>
      <c r="Z391" s="181"/>
    </row>
    <row r="392" spans="1:26" ht="25" customHeight="1" outlineLevel="1" x14ac:dyDescent="0.35">
      <c r="B392" s="125"/>
      <c r="C392" s="125"/>
      <c r="D392" s="125"/>
      <c r="E392" s="3" t="s">
        <v>113</v>
      </c>
      <c r="F392" s="31" t="s">
        <v>109</v>
      </c>
      <c r="G392" s="35"/>
      <c r="H392" s="57" t="str">
        <f t="shared" si="32"/>
        <v/>
      </c>
      <c r="I392" s="57" t="str">
        <f t="shared" si="33"/>
        <v/>
      </c>
      <c r="J392" s="58" t="str">
        <f t="shared" si="34"/>
        <v/>
      </c>
      <c r="K392" s="3"/>
      <c r="L392" s="42"/>
      <c r="U392" s="179" t="str" cm="1">
        <f t="array" ref="U392">IF(C392="",INDEX(C386:C392,MATCH(TRUE,INDEX((C386:C392&lt;&gt;""),0),0)),C392)</f>
        <v>BOS Diligance</v>
      </c>
      <c r="V392" s="180">
        <f t="shared" si="30"/>
        <v>1.1428838601084721</v>
      </c>
      <c r="W392" s="182">
        <v>20000</v>
      </c>
      <c r="X392" s="180"/>
      <c r="Y392" s="180">
        <f t="shared" si="31"/>
        <v>24444</v>
      </c>
      <c r="Z392" s="181"/>
    </row>
    <row r="393" spans="1:26" ht="25" customHeight="1" outlineLevel="1" x14ac:dyDescent="0.35">
      <c r="B393" s="125"/>
      <c r="C393" s="125"/>
      <c r="D393" s="125"/>
      <c r="E393" s="3" t="s">
        <v>114</v>
      </c>
      <c r="F393" s="31" t="s">
        <v>21</v>
      </c>
      <c r="G393" s="35"/>
      <c r="H393" s="57" t="str">
        <f t="shared" si="32"/>
        <v/>
      </c>
      <c r="I393" s="57" t="str">
        <f t="shared" si="33"/>
        <v/>
      </c>
      <c r="J393" s="58" t="str">
        <f t="shared" si="34"/>
        <v/>
      </c>
      <c r="K393" s="3"/>
      <c r="L393" s="42"/>
      <c r="U393" s="179" t="str" cm="1">
        <f t="array" ref="U393">IF(C393="",INDEX(C387:C393,MATCH(TRUE,INDEX((C387:C393&lt;&gt;""),0),0)),C393)</f>
        <v>BOS Diligance</v>
      </c>
      <c r="V393" s="180">
        <f t="shared" si="30"/>
        <v>1.1428838601084721</v>
      </c>
      <c r="W393" s="182">
        <v>20000</v>
      </c>
      <c r="X393" s="180"/>
      <c r="Y393" s="180">
        <f t="shared" si="31"/>
        <v>24444</v>
      </c>
      <c r="Z393" s="181"/>
    </row>
    <row r="394" spans="1:26" ht="25" customHeight="1" outlineLevel="1" x14ac:dyDescent="0.35">
      <c r="B394" s="126"/>
      <c r="C394" s="126"/>
      <c r="D394" s="126"/>
      <c r="E394" s="4" t="s">
        <v>14</v>
      </c>
      <c r="F394" s="31" t="s">
        <v>21</v>
      </c>
      <c r="G394" s="39"/>
      <c r="H394" s="65" t="str">
        <f t="shared" si="32"/>
        <v/>
      </c>
      <c r="I394" s="65" t="str">
        <f t="shared" si="33"/>
        <v/>
      </c>
      <c r="J394" s="66" t="str">
        <f t="shared" si="34"/>
        <v/>
      </c>
      <c r="K394" s="4"/>
      <c r="L394" s="43"/>
      <c r="U394" s="179" t="s">
        <v>97</v>
      </c>
      <c r="V394" s="180">
        <f t="shared" ref="V394:V406" si="35">MIN(Y394/21388,1.3)</f>
        <v>1.1428838601084721</v>
      </c>
      <c r="W394" s="182">
        <v>20000</v>
      </c>
      <c r="X394" s="180"/>
      <c r="Y394" s="180">
        <f t="shared" ref="Y394:Y406" si="36">INT(VLOOKUP(U394, $AB$30:$AH$96, 7, FALSE))</f>
        <v>24444</v>
      </c>
      <c r="Z394" s="181"/>
    </row>
    <row r="395" spans="1:26" ht="30" customHeight="1" x14ac:dyDescent="0.35">
      <c r="A395" s="8" t="s">
        <v>140</v>
      </c>
      <c r="B395" s="121">
        <v>66</v>
      </c>
      <c r="C395" s="121" t="s">
        <v>98</v>
      </c>
      <c r="D395" s="121" t="s">
        <v>89</v>
      </c>
      <c r="E395" s="27" t="s">
        <v>106</v>
      </c>
      <c r="F395" s="32"/>
      <c r="G395" s="37"/>
      <c r="H395" s="61" t="str">
        <f t="shared" si="32"/>
        <v/>
      </c>
      <c r="I395" s="61" t="str">
        <f t="shared" si="33"/>
        <v/>
      </c>
      <c r="J395" s="62" t="str">
        <f t="shared" si="34"/>
        <v/>
      </c>
      <c r="K395" s="6"/>
      <c r="L395" s="44"/>
      <c r="U395" s="179" t="str" cm="1">
        <f t="array" ref="U395">IF(C395="",INDEX(C389:C395,MATCH(TRUE,INDEX((C389:C395&lt;&gt;""),0),0)),C395)</f>
        <v>Mashhor Princess</v>
      </c>
      <c r="V395" s="180">
        <f t="shared" si="35"/>
        <v>0.85716289508135401</v>
      </c>
      <c r="W395" s="182">
        <v>20000</v>
      </c>
      <c r="X395" s="180"/>
      <c r="Y395" s="180">
        <f t="shared" si="36"/>
        <v>18333</v>
      </c>
      <c r="Z395" s="181"/>
    </row>
    <row r="396" spans="1:26" ht="25" customHeight="1" outlineLevel="1" x14ac:dyDescent="0.35">
      <c r="B396" s="122"/>
      <c r="C396" s="122"/>
      <c r="D396" s="122"/>
      <c r="E396" s="6" t="s">
        <v>13</v>
      </c>
      <c r="F396" s="32" t="s">
        <v>32</v>
      </c>
      <c r="G396" s="37"/>
      <c r="H396" s="61" t="str">
        <f t="shared" si="32"/>
        <v/>
      </c>
      <c r="I396" s="61" t="str">
        <f t="shared" si="33"/>
        <v/>
      </c>
      <c r="J396" s="62" t="str">
        <f t="shared" si="34"/>
        <v/>
      </c>
      <c r="K396" s="6"/>
      <c r="L396" s="45"/>
      <c r="U396" s="179" t="str" cm="1">
        <f t="array" ref="U396">IF(C396="",INDEX(C390:C396,MATCH(TRUE,INDEX((C390:C396&lt;&gt;""),0),0)),C396)</f>
        <v>Mashhor Princess</v>
      </c>
      <c r="V396" s="180">
        <f t="shared" si="35"/>
        <v>0.85716289508135401</v>
      </c>
      <c r="W396" s="182">
        <v>20000</v>
      </c>
      <c r="X396" s="180"/>
      <c r="Y396" s="180">
        <f t="shared" si="36"/>
        <v>18333</v>
      </c>
      <c r="Z396" s="181"/>
    </row>
    <row r="397" spans="1:26" ht="25" customHeight="1" outlineLevel="1" x14ac:dyDescent="0.35">
      <c r="B397" s="122"/>
      <c r="C397" s="122"/>
      <c r="D397" s="122"/>
      <c r="E397" s="6" t="s">
        <v>110</v>
      </c>
      <c r="F397" s="32" t="s">
        <v>17</v>
      </c>
      <c r="G397" s="37"/>
      <c r="H397" s="61">
        <f t="shared" si="32"/>
        <v>7114.4520291752387</v>
      </c>
      <c r="I397" s="61">
        <f t="shared" si="33"/>
        <v>857.16289508135401</v>
      </c>
      <c r="J397" s="62">
        <f t="shared" si="34"/>
        <v>38.572330278660928</v>
      </c>
      <c r="K397" s="6"/>
      <c r="L397" s="45"/>
      <c r="U397" s="179" t="str" cm="1">
        <f t="array" ref="U397">IF(C397="",INDEX(C391:C397,MATCH(TRUE,INDEX((C391:C397&lt;&gt;""),0),0)),C397)</f>
        <v>Mashhor Princess</v>
      </c>
      <c r="V397" s="180">
        <f t="shared" si="35"/>
        <v>0.85716289508135401</v>
      </c>
      <c r="W397" s="182">
        <v>20000</v>
      </c>
      <c r="X397" s="180"/>
      <c r="Y397" s="180">
        <f t="shared" si="36"/>
        <v>18333</v>
      </c>
      <c r="Z397" s="181"/>
    </row>
    <row r="398" spans="1:26" ht="25" customHeight="1" outlineLevel="1" x14ac:dyDescent="0.35">
      <c r="B398" s="122"/>
      <c r="C398" s="122"/>
      <c r="D398" s="122"/>
      <c r="E398" s="6" t="s">
        <v>113</v>
      </c>
      <c r="F398" s="32" t="s">
        <v>21</v>
      </c>
      <c r="G398" s="37"/>
      <c r="H398" s="61" t="str">
        <f t="shared" si="32"/>
        <v/>
      </c>
      <c r="I398" s="61" t="str">
        <f t="shared" si="33"/>
        <v/>
      </c>
      <c r="J398" s="62" t="str">
        <f t="shared" si="34"/>
        <v/>
      </c>
      <c r="K398" s="6"/>
      <c r="L398" s="45"/>
      <c r="U398" s="179" t="str" cm="1">
        <f t="array" ref="U398">IF(C398="",INDEX(C392:C398,MATCH(TRUE,INDEX((C392:C398&lt;&gt;""),0),0)),C398)</f>
        <v>Mashhor Princess</v>
      </c>
      <c r="V398" s="180">
        <f t="shared" si="35"/>
        <v>0.85716289508135401</v>
      </c>
      <c r="W398" s="182">
        <v>20000</v>
      </c>
      <c r="X398" s="180"/>
      <c r="Y398" s="180">
        <f t="shared" si="36"/>
        <v>18333</v>
      </c>
      <c r="Z398" s="181"/>
    </row>
    <row r="399" spans="1:26" ht="25" customHeight="1" outlineLevel="1" x14ac:dyDescent="0.35">
      <c r="B399" s="122"/>
      <c r="C399" s="122"/>
      <c r="D399" s="122"/>
      <c r="E399" s="6" t="s">
        <v>114</v>
      </c>
      <c r="F399" s="32" t="s">
        <v>32</v>
      </c>
      <c r="G399" s="37"/>
      <c r="H399" s="61" t="str">
        <f t="shared" si="32"/>
        <v/>
      </c>
      <c r="I399" s="61" t="str">
        <f t="shared" si="33"/>
        <v/>
      </c>
      <c r="J399" s="62" t="str">
        <f t="shared" si="34"/>
        <v/>
      </c>
      <c r="K399" s="6"/>
      <c r="L399" s="45"/>
      <c r="U399" s="179" t="str" cm="1">
        <f t="array" ref="U399">IF(C399="",INDEX(C393:C399,MATCH(TRUE,INDEX((C393:C399&lt;&gt;""),0),0)),C399)</f>
        <v>Mashhor Princess</v>
      </c>
      <c r="V399" s="180">
        <f t="shared" si="35"/>
        <v>0.85716289508135401</v>
      </c>
      <c r="W399" s="182">
        <v>20000</v>
      </c>
      <c r="X399" s="180"/>
      <c r="Y399" s="180">
        <f t="shared" si="36"/>
        <v>18333</v>
      </c>
      <c r="Z399" s="181"/>
    </row>
    <row r="400" spans="1:26" ht="25" customHeight="1" outlineLevel="1" x14ac:dyDescent="0.35">
      <c r="B400" s="123"/>
      <c r="C400" s="123"/>
      <c r="D400" s="123"/>
      <c r="E400" s="7" t="s">
        <v>14</v>
      </c>
      <c r="F400" s="32" t="s">
        <v>32</v>
      </c>
      <c r="G400" s="37"/>
      <c r="H400" s="61" t="str">
        <f t="shared" si="32"/>
        <v/>
      </c>
      <c r="I400" s="61" t="str">
        <f t="shared" si="33"/>
        <v/>
      </c>
      <c r="J400" s="62" t="str">
        <f t="shared" si="34"/>
        <v/>
      </c>
      <c r="K400" s="6"/>
      <c r="L400" s="46"/>
      <c r="U400" s="179" t="str" cm="1">
        <f t="array" ref="U400">IF(C400="",INDEX(C394:C400,MATCH(TRUE,INDEX((C394:C400&lt;&gt;""),0),0)),C400)</f>
        <v>Mashhor Princess</v>
      </c>
      <c r="V400" s="180">
        <f t="shared" si="35"/>
        <v>0.85716289508135401</v>
      </c>
      <c r="W400" s="182">
        <v>20000</v>
      </c>
      <c r="X400" s="180"/>
      <c r="Y400" s="180">
        <f t="shared" si="36"/>
        <v>18333</v>
      </c>
      <c r="Z400" s="181"/>
    </row>
    <row r="401" spans="1:26" ht="30" customHeight="1" x14ac:dyDescent="0.35">
      <c r="A401" s="8" t="s">
        <v>140</v>
      </c>
      <c r="B401" s="124">
        <v>67</v>
      </c>
      <c r="C401" s="124" t="s">
        <v>99</v>
      </c>
      <c r="D401" s="124" t="s">
        <v>12</v>
      </c>
      <c r="E401" s="26" t="s">
        <v>106</v>
      </c>
      <c r="F401" s="31"/>
      <c r="G401" s="34"/>
      <c r="H401" s="55" t="str">
        <f t="shared" si="32"/>
        <v/>
      </c>
      <c r="I401" s="55" t="str">
        <f t="shared" si="33"/>
        <v/>
      </c>
      <c r="J401" s="56" t="str">
        <f t="shared" si="34"/>
        <v/>
      </c>
      <c r="K401" s="2"/>
      <c r="L401" s="41"/>
      <c r="U401" s="179" t="str" cm="1">
        <f t="array" ref="U401">IF(C401="",INDEX(C395:C401,MATCH(TRUE,INDEX((C395:C401&lt;&gt;""),0),0)),C401)</f>
        <v>ENA Habitat</v>
      </c>
      <c r="V401" s="180">
        <f t="shared" si="35"/>
        <v>0.85716289508135401</v>
      </c>
      <c r="W401" s="182">
        <v>20000</v>
      </c>
      <c r="X401" s="180"/>
      <c r="Y401" s="180">
        <f t="shared" si="36"/>
        <v>18333</v>
      </c>
      <c r="Z401" s="181"/>
    </row>
    <row r="402" spans="1:26" ht="25" customHeight="1" outlineLevel="1" x14ac:dyDescent="0.35">
      <c r="B402" s="125"/>
      <c r="C402" s="125"/>
      <c r="D402" s="125"/>
      <c r="E402" s="3" t="s">
        <v>13</v>
      </c>
      <c r="F402" s="31" t="s">
        <v>32</v>
      </c>
      <c r="G402" s="35"/>
      <c r="H402" s="57" t="str">
        <f t="shared" si="32"/>
        <v/>
      </c>
      <c r="I402" s="57" t="str">
        <f t="shared" si="33"/>
        <v/>
      </c>
      <c r="J402" s="58" t="str">
        <f t="shared" si="34"/>
        <v/>
      </c>
      <c r="K402" s="3"/>
      <c r="L402" s="42"/>
      <c r="U402" s="179" t="str" cm="1">
        <f t="array" ref="U402">IF(C402="",INDEX(C396:C402,MATCH(TRUE,INDEX((C396:C402&lt;&gt;""),0),0)),C402)</f>
        <v>ENA Habitat</v>
      </c>
      <c r="V402" s="180">
        <f t="shared" si="35"/>
        <v>0.85716289508135401</v>
      </c>
      <c r="W402" s="182">
        <v>20000</v>
      </c>
      <c r="X402" s="180"/>
      <c r="Y402" s="180">
        <f t="shared" si="36"/>
        <v>18333</v>
      </c>
      <c r="Z402" s="181"/>
    </row>
    <row r="403" spans="1:26" ht="25" customHeight="1" outlineLevel="1" x14ac:dyDescent="0.35">
      <c r="B403" s="125"/>
      <c r="C403" s="125"/>
      <c r="D403" s="125"/>
      <c r="E403" s="3" t="s">
        <v>113</v>
      </c>
      <c r="F403" s="31" t="s">
        <v>21</v>
      </c>
      <c r="G403" s="35"/>
      <c r="H403" s="57" t="str">
        <f t="shared" si="32"/>
        <v/>
      </c>
      <c r="I403" s="57" t="str">
        <f t="shared" si="33"/>
        <v/>
      </c>
      <c r="J403" s="58" t="str">
        <f t="shared" si="34"/>
        <v/>
      </c>
      <c r="K403" s="3"/>
      <c r="L403" s="42"/>
      <c r="U403" s="179" t="str" cm="1">
        <f t="array" ref="U403">IF(C403="",INDEX(C397:C403,MATCH(TRUE,INDEX((C397:C403&lt;&gt;""),0),0)),C403)</f>
        <v>ENA Habitat</v>
      </c>
      <c r="V403" s="180">
        <f t="shared" si="35"/>
        <v>0.85716289508135401</v>
      </c>
      <c r="W403" s="182">
        <v>20000</v>
      </c>
      <c r="X403" s="180"/>
      <c r="Y403" s="180">
        <f t="shared" si="36"/>
        <v>18333</v>
      </c>
      <c r="Z403" s="181"/>
    </row>
    <row r="404" spans="1:26" ht="25" customHeight="1" outlineLevel="1" x14ac:dyDescent="0.35">
      <c r="B404" s="125"/>
      <c r="C404" s="125"/>
      <c r="D404" s="125"/>
      <c r="E404" s="3" t="s">
        <v>110</v>
      </c>
      <c r="F404" s="31" t="s">
        <v>17</v>
      </c>
      <c r="G404" s="35"/>
      <c r="H404" s="57">
        <f t="shared" si="32"/>
        <v>7114.4520291752387</v>
      </c>
      <c r="I404" s="57">
        <f t="shared" si="33"/>
        <v>857.16289508135401</v>
      </c>
      <c r="J404" s="58">
        <f t="shared" si="34"/>
        <v>38.572330278660928</v>
      </c>
      <c r="K404" s="3"/>
      <c r="L404" s="42"/>
      <c r="U404" s="179" t="str" cm="1">
        <f t="array" ref="U404">IF(C404="",INDEX(C398:C404,MATCH(TRUE,INDEX((C398:C404&lt;&gt;""),0),0)),C404)</f>
        <v>ENA Habitat</v>
      </c>
      <c r="V404" s="180">
        <f t="shared" si="35"/>
        <v>0.85716289508135401</v>
      </c>
      <c r="W404" s="182">
        <v>20000</v>
      </c>
      <c r="X404" s="180"/>
      <c r="Y404" s="180">
        <f t="shared" si="36"/>
        <v>18333</v>
      </c>
      <c r="Z404" s="181"/>
    </row>
    <row r="405" spans="1:26" ht="25" customHeight="1" outlineLevel="1" x14ac:dyDescent="0.35">
      <c r="B405" s="125"/>
      <c r="C405" s="125"/>
      <c r="D405" s="125"/>
      <c r="E405" s="3" t="s">
        <v>114</v>
      </c>
      <c r="F405" s="31" t="s">
        <v>32</v>
      </c>
      <c r="G405" s="35"/>
      <c r="H405" s="57" t="str">
        <f t="shared" si="32"/>
        <v/>
      </c>
      <c r="I405" s="57" t="str">
        <f t="shared" si="33"/>
        <v/>
      </c>
      <c r="J405" s="58" t="str">
        <f t="shared" si="34"/>
        <v/>
      </c>
      <c r="K405" s="3"/>
      <c r="L405" s="42"/>
      <c r="U405" s="179" t="str" cm="1">
        <f t="array" ref="U405">IF(C405="",INDEX(C399:C405,MATCH(TRUE,INDEX((C399:C405&lt;&gt;""),0),0)),C405)</f>
        <v>ENA Habitat</v>
      </c>
      <c r="V405" s="180">
        <f t="shared" si="35"/>
        <v>0.85716289508135401</v>
      </c>
      <c r="W405" s="182">
        <v>20000</v>
      </c>
      <c r="X405" s="180"/>
      <c r="Y405" s="180">
        <f t="shared" si="36"/>
        <v>18333</v>
      </c>
      <c r="Z405" s="181"/>
    </row>
    <row r="406" spans="1:26" ht="25" customHeight="1" outlineLevel="1" thickBot="1" x14ac:dyDescent="0.4">
      <c r="B406" s="126"/>
      <c r="C406" s="126"/>
      <c r="D406" s="126"/>
      <c r="E406" s="4" t="s">
        <v>14</v>
      </c>
      <c r="F406" s="31" t="s">
        <v>32</v>
      </c>
      <c r="G406" s="39"/>
      <c r="H406" s="65" t="str">
        <f t="shared" si="32"/>
        <v/>
      </c>
      <c r="I406" s="65" t="str">
        <f t="shared" si="33"/>
        <v/>
      </c>
      <c r="J406" s="66" t="str">
        <f t="shared" si="34"/>
        <v/>
      </c>
      <c r="K406" s="4"/>
      <c r="L406" s="43"/>
      <c r="U406" s="184" t="str" cm="1">
        <f t="array" ref="U406">IF(C406="",INDEX(C400:C406,MATCH(TRUE,INDEX((C400:C406&lt;&gt;""),0),0)),C406)</f>
        <v>ENA Habitat</v>
      </c>
      <c r="V406" s="180">
        <f t="shared" si="35"/>
        <v>0.85716289508135401</v>
      </c>
      <c r="W406" s="186">
        <v>20000</v>
      </c>
      <c r="X406" s="185"/>
      <c r="Y406" s="180">
        <f t="shared" si="36"/>
        <v>18333</v>
      </c>
      <c r="Z406" s="181"/>
    </row>
    <row r="407" spans="1:26" ht="25" customHeight="1" x14ac:dyDescent="0.35">
      <c r="B407" s="8"/>
      <c r="C407" s="8"/>
      <c r="D407" s="8"/>
      <c r="E407" s="8"/>
      <c r="F407" s="8"/>
      <c r="G407" s="8"/>
      <c r="H407" s="8"/>
      <c r="I407" s="8"/>
      <c r="J407" s="49"/>
      <c r="K407" s="8"/>
    </row>
    <row r="408" spans="1:26" ht="25" customHeight="1" x14ac:dyDescent="0.35">
      <c r="B408" s="8"/>
      <c r="C408" s="8"/>
      <c r="D408" s="8"/>
      <c r="E408" s="8"/>
      <c r="F408" s="8"/>
      <c r="G408" s="8"/>
      <c r="H408" s="8"/>
      <c r="I408" s="8"/>
      <c r="J408" s="49"/>
      <c r="K408" s="8"/>
    </row>
    <row r="409" spans="1:26" ht="25" customHeight="1" x14ac:dyDescent="0.35">
      <c r="A409" s="8">
        <f>COUNTIF(A8:A406,"a")</f>
        <v>40</v>
      </c>
      <c r="B409" s="8"/>
      <c r="C409" s="8"/>
      <c r="D409" s="8"/>
      <c r="E409" s="8"/>
      <c r="F409" s="8"/>
      <c r="G409" s="8"/>
      <c r="H409" s="8"/>
      <c r="I409" s="8"/>
      <c r="J409" s="49"/>
      <c r="K409" s="8"/>
    </row>
    <row r="410" spans="1:26" ht="25" customHeight="1" x14ac:dyDescent="0.35">
      <c r="A410" s="108">
        <f>A409/67</f>
        <v>0.59701492537313428</v>
      </c>
      <c r="B410" s="8"/>
      <c r="C410" s="8"/>
      <c r="D410" s="8"/>
      <c r="E410" s="8"/>
      <c r="F410" s="8"/>
      <c r="G410" s="11"/>
      <c r="H410" s="8"/>
      <c r="I410" s="8"/>
      <c r="J410" s="49"/>
      <c r="K410" s="9"/>
    </row>
    <row r="411" spans="1:26" ht="15" customHeight="1" x14ac:dyDescent="0.35">
      <c r="B411" s="8"/>
      <c r="C411" s="8"/>
      <c r="E411" s="8"/>
      <c r="F411" s="8"/>
      <c r="G411" s="11"/>
      <c r="H411" s="8"/>
      <c r="I411" s="8"/>
      <c r="J411" s="49"/>
      <c r="K411" s="9"/>
    </row>
    <row r="412" spans="1:26" ht="15" customHeight="1" x14ac:dyDescent="0.35">
      <c r="B412" s="8"/>
      <c r="C412" s="8"/>
      <c r="D412" s="8"/>
      <c r="E412" s="8"/>
      <c r="F412" s="8"/>
      <c r="G412" s="11"/>
      <c r="H412" s="8"/>
      <c r="I412" s="8"/>
      <c r="J412" s="49"/>
      <c r="K412" s="9"/>
    </row>
    <row r="413" spans="1:26" ht="20.149999999999999" customHeight="1" x14ac:dyDescent="0.35">
      <c r="B413" s="8"/>
      <c r="C413" s="8"/>
      <c r="D413" s="8"/>
      <c r="E413" s="8"/>
      <c r="F413" s="8"/>
      <c r="G413" s="11"/>
      <c r="H413" s="8"/>
      <c r="I413" s="8"/>
      <c r="J413" s="49"/>
      <c r="K413" s="9"/>
    </row>
    <row r="414" spans="1:26" ht="20.149999999999999" customHeight="1" x14ac:dyDescent="0.35">
      <c r="B414" s="8"/>
      <c r="C414" s="8"/>
      <c r="D414" s="8"/>
      <c r="E414" s="8"/>
      <c r="F414" s="8"/>
      <c r="G414" s="11"/>
      <c r="H414" s="8"/>
      <c r="I414" s="8"/>
      <c r="J414" s="49"/>
      <c r="K414" s="9"/>
    </row>
    <row r="415" spans="1:26" ht="20.149999999999999" customHeight="1" x14ac:dyDescent="0.35">
      <c r="B415" s="8"/>
      <c r="C415" s="8"/>
      <c r="D415" s="8"/>
      <c r="E415" s="8"/>
      <c r="F415" s="8"/>
      <c r="G415" s="11"/>
      <c r="H415" s="8"/>
      <c r="I415" s="8"/>
      <c r="J415" s="49"/>
      <c r="K415" s="9"/>
    </row>
    <row r="416" spans="1:26" ht="20.149999999999999" customHeight="1" x14ac:dyDescent="0.35">
      <c r="B416" s="8"/>
      <c r="C416" s="8"/>
      <c r="D416" s="8"/>
      <c r="E416" s="8"/>
      <c r="F416" s="8"/>
      <c r="G416" s="11"/>
      <c r="H416" s="8"/>
      <c r="I416" s="8"/>
      <c r="J416" s="49"/>
      <c r="K416" s="9"/>
    </row>
    <row r="417" spans="2:11" ht="20.149999999999999" customHeight="1" x14ac:dyDescent="0.35">
      <c r="B417" s="8"/>
      <c r="C417" s="8"/>
      <c r="D417" s="8"/>
      <c r="E417" s="8"/>
      <c r="F417" s="8"/>
      <c r="G417" s="11"/>
      <c r="H417" s="8"/>
      <c r="I417" s="8"/>
      <c r="J417" s="49"/>
      <c r="K417" s="9"/>
    </row>
    <row r="418" spans="2:11" ht="20.149999999999999" customHeight="1" x14ac:dyDescent="0.35">
      <c r="B418" s="8"/>
      <c r="C418" s="8"/>
      <c r="D418" s="8"/>
      <c r="E418" s="8"/>
      <c r="F418" s="8"/>
      <c r="G418" s="11"/>
      <c r="H418" s="8"/>
      <c r="I418" s="8"/>
      <c r="J418" s="49"/>
      <c r="K418" s="9"/>
    </row>
    <row r="419" spans="2:11" ht="20.149999999999999" customHeight="1" x14ac:dyDescent="0.35">
      <c r="B419" s="8"/>
      <c r="C419" s="8"/>
      <c r="D419" s="8"/>
      <c r="E419" s="8"/>
      <c r="F419" s="8"/>
      <c r="G419" s="11"/>
      <c r="H419" s="8"/>
      <c r="I419" s="8"/>
      <c r="J419" s="49"/>
      <c r="K419" s="9"/>
    </row>
    <row r="420" spans="2:11" ht="20.149999999999999" customHeight="1" x14ac:dyDescent="0.35">
      <c r="B420" s="8"/>
      <c r="C420" s="8"/>
      <c r="D420" s="8"/>
      <c r="E420" s="8"/>
      <c r="F420" s="8"/>
      <c r="G420" s="11"/>
      <c r="H420" s="8"/>
      <c r="I420" s="8"/>
      <c r="J420" s="49"/>
      <c r="K420" s="9"/>
    </row>
    <row r="421" spans="2:11" ht="20.149999999999999" customHeight="1" x14ac:dyDescent="0.35">
      <c r="B421" s="8"/>
      <c r="C421" s="8"/>
      <c r="D421" s="8"/>
      <c r="E421" s="8"/>
      <c r="F421" s="8"/>
      <c r="G421" s="11"/>
      <c r="H421" s="8"/>
      <c r="I421" s="8"/>
      <c r="J421" s="49"/>
      <c r="K421" s="9"/>
    </row>
    <row r="422" spans="2:11" ht="20.149999999999999" customHeight="1" x14ac:dyDescent="0.35">
      <c r="B422" s="8"/>
      <c r="C422" s="8"/>
      <c r="D422" s="8"/>
      <c r="E422" s="8"/>
      <c r="F422" s="8"/>
      <c r="G422" s="11"/>
      <c r="H422" s="8"/>
      <c r="I422" s="8"/>
      <c r="J422" s="49"/>
      <c r="K422" s="9"/>
    </row>
    <row r="423" spans="2:11" ht="20.149999999999999" customHeight="1" x14ac:dyDescent="0.35">
      <c r="B423" s="8"/>
      <c r="C423" s="8"/>
      <c r="D423" s="8"/>
      <c r="E423" s="8"/>
      <c r="F423" s="8"/>
      <c r="G423" s="11"/>
      <c r="H423" s="8"/>
      <c r="I423" s="8"/>
      <c r="J423" s="49"/>
      <c r="K423" s="9"/>
    </row>
    <row r="424" spans="2:11" ht="20.149999999999999" customHeight="1" x14ac:dyDescent="0.35">
      <c r="B424" s="8"/>
      <c r="C424" s="8"/>
      <c r="D424" s="8"/>
      <c r="E424" s="8"/>
      <c r="F424" s="8"/>
      <c r="G424" s="11"/>
      <c r="H424" s="8"/>
      <c r="I424" s="8"/>
      <c r="J424" s="49"/>
      <c r="K424" s="9"/>
    </row>
    <row r="425" spans="2:11" ht="20.149999999999999" customHeight="1" x14ac:dyDescent="0.35">
      <c r="B425" s="8"/>
      <c r="C425" s="8"/>
      <c r="D425" s="8"/>
      <c r="E425" s="8"/>
      <c r="F425" s="8"/>
      <c r="G425" s="11"/>
      <c r="H425" s="8"/>
      <c r="I425" s="8"/>
      <c r="J425" s="49"/>
      <c r="K425" s="9"/>
    </row>
    <row r="426" spans="2:11" ht="20.149999999999999" customHeight="1" x14ac:dyDescent="0.35">
      <c r="B426" s="8"/>
      <c r="C426" s="8"/>
      <c r="D426" s="8"/>
      <c r="E426" s="8"/>
      <c r="F426" s="8"/>
      <c r="G426" s="11"/>
      <c r="H426" s="8"/>
      <c r="I426" s="8"/>
      <c r="J426" s="49"/>
      <c r="K426" s="9"/>
    </row>
    <row r="427" spans="2:11" ht="20.149999999999999" customHeight="1" x14ac:dyDescent="0.35">
      <c r="B427" s="8"/>
      <c r="C427" s="8"/>
      <c r="D427" s="8"/>
      <c r="E427" s="8"/>
      <c r="F427" s="8"/>
      <c r="G427" s="11"/>
      <c r="H427" s="8"/>
      <c r="I427" s="8"/>
      <c r="J427" s="49"/>
      <c r="K427" s="9"/>
    </row>
    <row r="428" spans="2:11" ht="20.149999999999999" customHeight="1" x14ac:dyDescent="0.35">
      <c r="B428" s="8"/>
      <c r="C428" s="8"/>
      <c r="D428" s="8"/>
      <c r="E428" s="8"/>
      <c r="F428" s="8"/>
      <c r="G428" s="11"/>
      <c r="H428" s="8"/>
      <c r="I428" s="8"/>
      <c r="J428" s="49"/>
      <c r="K428" s="9"/>
    </row>
    <row r="429" spans="2:11" ht="20.149999999999999" customHeight="1" x14ac:dyDescent="0.35">
      <c r="B429" s="8"/>
      <c r="C429" s="8"/>
      <c r="D429" s="8"/>
      <c r="E429" s="8"/>
      <c r="F429" s="8"/>
      <c r="G429" s="11"/>
      <c r="H429" s="8"/>
      <c r="I429" s="8"/>
      <c r="J429" s="49"/>
      <c r="K429" s="9"/>
    </row>
    <row r="430" spans="2:11" ht="20.149999999999999" customHeight="1" x14ac:dyDescent="0.35">
      <c r="B430" s="8"/>
      <c r="C430" s="8"/>
      <c r="D430" s="8"/>
      <c r="E430" s="8"/>
      <c r="F430" s="8"/>
      <c r="G430" s="11"/>
      <c r="H430" s="8"/>
      <c r="I430" s="8"/>
      <c r="J430" s="49"/>
      <c r="K430" s="9"/>
    </row>
    <row r="431" spans="2:11" ht="20.149999999999999" customHeight="1" x14ac:dyDescent="0.35">
      <c r="B431" s="8"/>
      <c r="C431" s="8"/>
      <c r="D431" s="8"/>
      <c r="E431" s="8"/>
      <c r="F431" s="8"/>
      <c r="G431" s="11"/>
      <c r="H431" s="8"/>
      <c r="I431" s="8"/>
      <c r="J431" s="49"/>
      <c r="K431" s="9"/>
    </row>
    <row r="432" spans="2:11" ht="20.149999999999999" customHeight="1" x14ac:dyDescent="0.35">
      <c r="B432" s="8"/>
      <c r="C432" s="8"/>
      <c r="D432" s="8"/>
      <c r="E432" s="8"/>
      <c r="F432" s="8"/>
      <c r="G432" s="11"/>
      <c r="H432" s="8"/>
      <c r="I432" s="8"/>
      <c r="J432" s="49"/>
      <c r="K432" s="9"/>
    </row>
    <row r="433" spans="2:11" ht="20.149999999999999" customHeight="1" x14ac:dyDescent="0.35">
      <c r="B433" s="8"/>
      <c r="C433" s="8"/>
      <c r="D433" s="8"/>
      <c r="E433" s="8"/>
      <c r="F433" s="8"/>
      <c r="G433" s="11"/>
      <c r="H433" s="8"/>
      <c r="I433" s="8"/>
      <c r="J433" s="49"/>
      <c r="K433" s="9"/>
    </row>
    <row r="434" spans="2:11" ht="20.149999999999999" customHeight="1" x14ac:dyDescent="0.35">
      <c r="B434" s="8"/>
      <c r="C434" s="8"/>
      <c r="D434" s="8"/>
      <c r="E434" s="8"/>
      <c r="F434" s="8"/>
      <c r="G434" s="11"/>
      <c r="H434" s="8"/>
      <c r="I434" s="8"/>
      <c r="J434" s="49"/>
      <c r="K434" s="9"/>
    </row>
    <row r="435" spans="2:11" ht="20.149999999999999" customHeight="1" x14ac:dyDescent="0.35">
      <c r="B435" s="8"/>
      <c r="C435" s="8"/>
      <c r="D435" s="8"/>
      <c r="E435" s="8"/>
      <c r="F435" s="8"/>
      <c r="G435" s="11"/>
      <c r="H435" s="8"/>
      <c r="I435" s="8"/>
      <c r="J435" s="49"/>
      <c r="K435" s="9"/>
    </row>
    <row r="436" spans="2:11" ht="20.149999999999999" customHeight="1" x14ac:dyDescent="0.35">
      <c r="B436" s="8"/>
      <c r="C436" s="8"/>
      <c r="D436" s="8"/>
      <c r="E436" s="8"/>
      <c r="F436" s="8"/>
      <c r="G436" s="11"/>
      <c r="H436" s="8"/>
      <c r="I436" s="8"/>
      <c r="J436" s="49"/>
      <c r="K436" s="9"/>
    </row>
    <row r="437" spans="2:11" ht="20.149999999999999" customHeight="1" x14ac:dyDescent="0.35">
      <c r="B437" s="8"/>
      <c r="C437" s="8"/>
      <c r="D437" s="8"/>
      <c r="E437" s="8"/>
      <c r="F437" s="8"/>
      <c r="G437" s="11"/>
      <c r="H437" s="8"/>
      <c r="I437" s="8"/>
      <c r="J437" s="49"/>
      <c r="K437" s="9"/>
    </row>
    <row r="438" spans="2:11" ht="20.149999999999999" customHeight="1" x14ac:dyDescent="0.35">
      <c r="B438" s="8"/>
      <c r="C438" s="8"/>
      <c r="D438" s="8"/>
      <c r="E438" s="8"/>
      <c r="F438" s="8"/>
      <c r="G438" s="11"/>
      <c r="H438" s="8"/>
      <c r="I438" s="8"/>
      <c r="J438" s="49"/>
      <c r="K438" s="9"/>
    </row>
    <row r="439" spans="2:11" ht="20.149999999999999" customHeight="1" x14ac:dyDescent="0.35">
      <c r="B439" s="8"/>
      <c r="C439" s="8"/>
      <c r="D439" s="8"/>
      <c r="E439" s="8"/>
      <c r="F439" s="8"/>
      <c r="G439" s="11"/>
      <c r="H439" s="8"/>
      <c r="I439" s="8"/>
      <c r="J439" s="49"/>
      <c r="K439" s="9"/>
    </row>
    <row r="440" spans="2:11" ht="20.149999999999999" customHeight="1" x14ac:dyDescent="0.35">
      <c r="B440" s="8"/>
      <c r="C440" s="8"/>
      <c r="D440" s="8"/>
      <c r="E440" s="8"/>
      <c r="F440" s="8"/>
      <c r="G440" s="11"/>
      <c r="H440" s="8"/>
      <c r="I440" s="8"/>
      <c r="J440" s="49"/>
      <c r="K440" s="9"/>
    </row>
    <row r="441" spans="2:11" ht="20.149999999999999" customHeight="1" x14ac:dyDescent="0.35">
      <c r="B441" s="8"/>
      <c r="C441" s="8"/>
      <c r="D441" s="8"/>
      <c r="E441" s="8"/>
      <c r="F441" s="8"/>
      <c r="G441" s="11"/>
      <c r="H441" s="8"/>
      <c r="I441" s="8"/>
      <c r="J441" s="49"/>
      <c r="K441" s="9"/>
    </row>
    <row r="442" spans="2:11" ht="20.149999999999999" customHeight="1" x14ac:dyDescent="0.35">
      <c r="B442" s="8"/>
      <c r="C442" s="8"/>
      <c r="D442" s="8"/>
      <c r="E442" s="8"/>
      <c r="F442" s="8"/>
      <c r="G442" s="11"/>
      <c r="H442" s="8"/>
      <c r="I442" s="8"/>
      <c r="J442" s="49"/>
      <c r="K442" s="9"/>
    </row>
    <row r="443" spans="2:11" ht="20.149999999999999" customHeight="1" x14ac:dyDescent="0.35">
      <c r="B443" s="8"/>
      <c r="C443" s="8"/>
      <c r="D443" s="8"/>
      <c r="E443" s="8"/>
      <c r="F443" s="8"/>
      <c r="G443" s="11"/>
      <c r="H443" s="8"/>
      <c r="I443" s="8"/>
      <c r="J443" s="49"/>
      <c r="K443" s="9"/>
    </row>
    <row r="444" spans="2:11" ht="20.149999999999999" customHeight="1" x14ac:dyDescent="0.35">
      <c r="B444" s="8"/>
      <c r="C444" s="8"/>
      <c r="D444" s="8"/>
      <c r="E444" s="8"/>
      <c r="F444" s="8"/>
      <c r="G444" s="11"/>
      <c r="H444" s="8"/>
      <c r="I444" s="8"/>
      <c r="J444" s="49"/>
      <c r="K444" s="9"/>
    </row>
    <row r="445" spans="2:11" ht="20.149999999999999" customHeight="1" x14ac:dyDescent="0.35">
      <c r="B445" s="8"/>
      <c r="C445" s="8"/>
      <c r="D445" s="8"/>
      <c r="E445" s="8"/>
      <c r="F445" s="8"/>
      <c r="G445" s="11"/>
      <c r="H445" s="8"/>
      <c r="I445" s="8"/>
      <c r="J445" s="49"/>
      <c r="K445" s="9"/>
    </row>
    <row r="446" spans="2:11" ht="20.149999999999999" customHeight="1" x14ac:dyDescent="0.35">
      <c r="B446" s="8"/>
      <c r="C446" s="8"/>
      <c r="D446" s="8"/>
      <c r="E446" s="8"/>
      <c r="F446" s="8"/>
      <c r="G446" s="11"/>
      <c r="H446" s="8"/>
      <c r="I446" s="8"/>
      <c r="J446" s="49"/>
      <c r="K446" s="9"/>
    </row>
    <row r="447" spans="2:11" ht="20.149999999999999" customHeight="1" x14ac:dyDescent="0.35">
      <c r="B447" s="8"/>
      <c r="C447" s="8"/>
      <c r="D447" s="8"/>
      <c r="E447" s="8"/>
      <c r="F447" s="8"/>
      <c r="G447" s="11"/>
      <c r="H447" s="8"/>
      <c r="I447" s="8"/>
      <c r="J447" s="49"/>
      <c r="K447" s="9"/>
    </row>
    <row r="448" spans="2:11" ht="20.149999999999999" customHeight="1" x14ac:dyDescent="0.35">
      <c r="B448" s="8"/>
      <c r="C448" s="8"/>
      <c r="D448" s="8"/>
      <c r="E448" s="8"/>
      <c r="F448" s="8"/>
      <c r="G448" s="11"/>
      <c r="H448" s="8"/>
      <c r="I448" s="8"/>
      <c r="J448" s="49"/>
      <c r="K448" s="9"/>
    </row>
    <row r="449" spans="2:11" ht="20.149999999999999" customHeight="1" x14ac:dyDescent="0.35">
      <c r="B449" s="8"/>
      <c r="C449" s="8"/>
      <c r="D449" s="8"/>
      <c r="E449" s="8"/>
      <c r="F449" s="8"/>
      <c r="G449" s="11"/>
      <c r="H449" s="8"/>
      <c r="I449" s="8"/>
      <c r="J449" s="49"/>
      <c r="K449" s="9"/>
    </row>
    <row r="450" spans="2:11" ht="20.149999999999999" customHeight="1" x14ac:dyDescent="0.35">
      <c r="B450" s="8"/>
      <c r="C450" s="8"/>
      <c r="D450" s="8"/>
      <c r="E450" s="8"/>
      <c r="F450" s="8"/>
      <c r="G450" s="11"/>
      <c r="H450" s="8"/>
      <c r="I450" s="8"/>
      <c r="J450" s="49"/>
      <c r="K450" s="9"/>
    </row>
    <row r="451" spans="2:11" ht="20.149999999999999" customHeight="1" x14ac:dyDescent="0.35">
      <c r="B451" s="8"/>
      <c r="C451" s="8"/>
      <c r="D451" s="8"/>
      <c r="E451" s="8"/>
      <c r="F451" s="8"/>
      <c r="G451" s="11"/>
      <c r="H451" s="8"/>
      <c r="I451" s="8"/>
      <c r="J451" s="49"/>
      <c r="K451" s="9"/>
    </row>
    <row r="452" spans="2:11" ht="20.149999999999999" customHeight="1" x14ac:dyDescent="0.35">
      <c r="B452" s="8"/>
      <c r="C452" s="8"/>
      <c r="D452" s="8"/>
      <c r="E452" s="8"/>
      <c r="F452" s="8"/>
      <c r="G452" s="11"/>
      <c r="H452" s="8"/>
      <c r="I452" s="8"/>
      <c r="J452" s="49"/>
      <c r="K452" s="9"/>
    </row>
    <row r="453" spans="2:11" ht="20.149999999999999" customHeight="1" x14ac:dyDescent="0.35">
      <c r="B453" s="8"/>
      <c r="C453" s="8"/>
      <c r="D453" s="8"/>
      <c r="E453" s="8"/>
      <c r="F453" s="8"/>
      <c r="G453" s="11"/>
      <c r="H453" s="8"/>
      <c r="I453" s="8"/>
      <c r="J453" s="49"/>
      <c r="K453" s="9"/>
    </row>
    <row r="454" spans="2:11" ht="20.149999999999999" customHeight="1" x14ac:dyDescent="0.35">
      <c r="B454" s="8"/>
      <c r="C454" s="8"/>
      <c r="D454" s="8"/>
      <c r="E454" s="8"/>
      <c r="F454" s="8"/>
      <c r="G454" s="11"/>
      <c r="H454" s="8"/>
      <c r="I454" s="8"/>
      <c r="J454" s="49"/>
      <c r="K454" s="9"/>
    </row>
    <row r="455" spans="2:11" ht="20.149999999999999" customHeight="1" x14ac:dyDescent="0.35">
      <c r="B455" s="8"/>
      <c r="C455" s="8"/>
      <c r="D455" s="8"/>
      <c r="E455" s="8"/>
      <c r="F455" s="8"/>
      <c r="G455" s="11"/>
      <c r="H455" s="8"/>
      <c r="I455" s="8"/>
      <c r="J455" s="49"/>
      <c r="K455" s="9"/>
    </row>
    <row r="456" spans="2:11" ht="20.149999999999999" customHeight="1" x14ac:dyDescent="0.35">
      <c r="B456" s="8"/>
      <c r="C456" s="8"/>
      <c r="D456" s="8"/>
      <c r="E456" s="8"/>
      <c r="F456" s="8"/>
      <c r="G456" s="11"/>
      <c r="H456" s="8"/>
      <c r="I456" s="8"/>
      <c r="J456" s="49"/>
      <c r="K456" s="9"/>
    </row>
    <row r="457" spans="2:11" ht="20.149999999999999" customHeight="1" x14ac:dyDescent="0.35">
      <c r="B457" s="8"/>
      <c r="C457" s="8"/>
      <c r="D457" s="8"/>
      <c r="E457" s="8"/>
      <c r="F457" s="8"/>
      <c r="G457" s="11"/>
      <c r="H457" s="8"/>
      <c r="I457" s="8"/>
      <c r="J457" s="49"/>
      <c r="K457" s="9"/>
    </row>
    <row r="458" spans="2:11" ht="20.149999999999999" customHeight="1" x14ac:dyDescent="0.35">
      <c r="B458" s="8"/>
      <c r="C458" s="8"/>
      <c r="D458" s="8"/>
      <c r="E458" s="8"/>
      <c r="F458" s="8"/>
      <c r="G458" s="11"/>
      <c r="H458" s="8"/>
      <c r="I458" s="8"/>
      <c r="J458" s="49"/>
      <c r="K458" s="9"/>
    </row>
    <row r="459" spans="2:11" ht="20.149999999999999" customHeight="1" x14ac:dyDescent="0.35">
      <c r="B459" s="8"/>
      <c r="C459" s="8"/>
      <c r="D459" s="8"/>
      <c r="E459" s="8"/>
      <c r="F459" s="8"/>
      <c r="G459" s="11"/>
      <c r="H459" s="8"/>
      <c r="I459" s="8"/>
      <c r="J459" s="49"/>
      <c r="K459" s="9"/>
    </row>
    <row r="460" spans="2:11" ht="20.149999999999999" customHeight="1" x14ac:dyDescent="0.35">
      <c r="B460" s="8"/>
      <c r="C460" s="8"/>
      <c r="D460" s="8"/>
      <c r="E460" s="8"/>
      <c r="F460" s="8"/>
      <c r="G460" s="11"/>
      <c r="H460" s="8"/>
      <c r="I460" s="8"/>
      <c r="J460" s="49"/>
      <c r="K460" s="9"/>
    </row>
    <row r="461" spans="2:11" ht="20.149999999999999" customHeight="1" x14ac:dyDescent="0.35">
      <c r="B461" s="8"/>
      <c r="C461" s="8"/>
      <c r="D461" s="8"/>
      <c r="E461" s="8"/>
      <c r="F461" s="8"/>
      <c r="G461" s="11"/>
      <c r="H461" s="8"/>
      <c r="I461" s="8"/>
      <c r="J461" s="49"/>
      <c r="K461" s="9"/>
    </row>
    <row r="462" spans="2:11" ht="20.149999999999999" customHeight="1" x14ac:dyDescent="0.35">
      <c r="B462" s="8"/>
      <c r="C462" s="8"/>
      <c r="D462" s="8"/>
      <c r="E462" s="8"/>
      <c r="F462" s="8"/>
      <c r="G462" s="11"/>
      <c r="H462" s="8"/>
      <c r="I462" s="8"/>
      <c r="J462" s="49"/>
      <c r="K462" s="9"/>
    </row>
    <row r="463" spans="2:11" ht="20.149999999999999" customHeight="1" x14ac:dyDescent="0.35">
      <c r="B463" s="8"/>
      <c r="C463" s="8"/>
      <c r="D463" s="8"/>
      <c r="E463" s="8"/>
      <c r="F463" s="8"/>
      <c r="G463" s="11"/>
      <c r="H463" s="8"/>
      <c r="I463" s="8"/>
      <c r="J463" s="49"/>
      <c r="K463" s="9"/>
    </row>
    <row r="464" spans="2:11" ht="20.149999999999999" customHeight="1" x14ac:dyDescent="0.35">
      <c r="B464" s="8"/>
      <c r="C464" s="8"/>
      <c r="D464" s="8"/>
      <c r="E464" s="8"/>
      <c r="F464" s="8"/>
      <c r="G464" s="11"/>
      <c r="H464" s="8"/>
      <c r="I464" s="8"/>
      <c r="J464" s="49"/>
      <c r="K464" s="9"/>
    </row>
    <row r="465" spans="2:11" ht="20.149999999999999" customHeight="1" x14ac:dyDescent="0.35">
      <c r="B465" s="8"/>
      <c r="C465" s="8"/>
      <c r="D465" s="8"/>
      <c r="E465" s="8"/>
      <c r="F465" s="8"/>
      <c r="G465" s="11"/>
      <c r="H465" s="8"/>
      <c r="I465" s="8"/>
      <c r="J465" s="49"/>
      <c r="K465" s="9"/>
    </row>
    <row r="466" spans="2:11" ht="20.149999999999999" customHeight="1" x14ac:dyDescent="0.35">
      <c r="B466" s="8"/>
      <c r="C466" s="8"/>
      <c r="D466" s="8"/>
      <c r="E466" s="8"/>
      <c r="F466" s="8"/>
      <c r="G466" s="11"/>
      <c r="H466" s="8"/>
      <c r="I466" s="8"/>
      <c r="J466" s="49"/>
      <c r="K466" s="9"/>
    </row>
    <row r="467" spans="2:11" ht="20.149999999999999" customHeight="1" x14ac:dyDescent="0.35">
      <c r="B467" s="8"/>
      <c r="C467" s="8"/>
      <c r="D467" s="8"/>
      <c r="E467" s="8"/>
      <c r="F467" s="8"/>
      <c r="G467" s="11"/>
      <c r="H467" s="8"/>
      <c r="I467" s="8"/>
      <c r="J467" s="49"/>
      <c r="K467" s="9"/>
    </row>
    <row r="468" spans="2:11" ht="20.149999999999999" customHeight="1" x14ac:dyDescent="0.35">
      <c r="B468" s="8"/>
      <c r="C468" s="8"/>
      <c r="D468" s="8"/>
      <c r="E468" s="8"/>
      <c r="F468" s="8"/>
      <c r="G468" s="11"/>
      <c r="H468" s="8"/>
      <c r="I468" s="8"/>
      <c r="J468" s="49"/>
      <c r="K468" s="9"/>
    </row>
    <row r="469" spans="2:11" ht="20.149999999999999" customHeight="1" x14ac:dyDescent="0.35">
      <c r="B469" s="8"/>
      <c r="C469" s="8"/>
      <c r="D469" s="8"/>
      <c r="E469" s="8"/>
      <c r="F469" s="8"/>
      <c r="G469" s="11"/>
      <c r="H469" s="8"/>
      <c r="I469" s="8"/>
      <c r="J469" s="49"/>
      <c r="K469" s="9"/>
    </row>
    <row r="470" spans="2:11" ht="20.149999999999999" customHeight="1" x14ac:dyDescent="0.35">
      <c r="B470" s="8"/>
      <c r="C470" s="8"/>
      <c r="D470" s="8"/>
      <c r="E470" s="8"/>
      <c r="F470" s="8"/>
      <c r="G470" s="11"/>
      <c r="H470" s="8"/>
      <c r="I470" s="8"/>
      <c r="J470" s="49"/>
      <c r="K470" s="9"/>
    </row>
    <row r="471" spans="2:11" ht="20.149999999999999" customHeight="1" x14ac:dyDescent="0.35">
      <c r="B471" s="8"/>
      <c r="C471" s="8"/>
      <c r="D471" s="8"/>
      <c r="E471" s="8"/>
      <c r="F471" s="8"/>
      <c r="G471" s="11"/>
      <c r="H471" s="8"/>
      <c r="I471" s="8"/>
      <c r="J471" s="49"/>
      <c r="K471" s="9"/>
    </row>
    <row r="472" spans="2:11" ht="20.149999999999999" customHeight="1" x14ac:dyDescent="0.35">
      <c r="B472" s="8"/>
      <c r="C472" s="8"/>
      <c r="D472" s="8"/>
      <c r="E472" s="8"/>
      <c r="F472" s="8"/>
      <c r="G472" s="11"/>
      <c r="H472" s="8"/>
      <c r="I472" s="8"/>
      <c r="J472" s="49"/>
      <c r="K472" s="9"/>
    </row>
    <row r="473" spans="2:11" ht="20.149999999999999" customHeight="1" x14ac:dyDescent="0.35">
      <c r="B473" s="8"/>
      <c r="C473" s="8"/>
      <c r="D473" s="8"/>
      <c r="E473" s="8"/>
      <c r="F473" s="8"/>
      <c r="G473" s="11"/>
      <c r="H473" s="8"/>
      <c r="I473" s="8"/>
      <c r="J473" s="49"/>
      <c r="K473" s="9"/>
    </row>
    <row r="474" spans="2:11" ht="20.149999999999999" customHeight="1" x14ac:dyDescent="0.35">
      <c r="B474" s="8"/>
      <c r="C474" s="8"/>
      <c r="D474" s="8"/>
      <c r="E474" s="8"/>
      <c r="F474" s="8"/>
      <c r="G474" s="11"/>
      <c r="H474" s="8"/>
      <c r="I474" s="8"/>
      <c r="J474" s="49"/>
      <c r="K474" s="9"/>
    </row>
    <row r="475" spans="2:11" ht="20.149999999999999" customHeight="1" x14ac:dyDescent="0.35">
      <c r="B475" s="8"/>
      <c r="C475" s="8"/>
      <c r="D475" s="8"/>
      <c r="E475" s="8"/>
      <c r="F475" s="8"/>
      <c r="G475" s="11"/>
      <c r="H475" s="8"/>
      <c r="I475" s="8"/>
      <c r="J475" s="49"/>
      <c r="K475" s="9"/>
    </row>
    <row r="476" spans="2:11" ht="20.149999999999999" customHeight="1" x14ac:dyDescent="0.35">
      <c r="B476" s="8"/>
      <c r="C476" s="8"/>
      <c r="D476" s="8"/>
      <c r="E476" s="8"/>
      <c r="F476" s="8"/>
      <c r="G476" s="11"/>
      <c r="H476" s="8"/>
      <c r="I476" s="8"/>
      <c r="J476" s="49"/>
      <c r="K476" s="9"/>
    </row>
    <row r="477" spans="2:11" ht="20.149999999999999" customHeight="1" x14ac:dyDescent="0.35">
      <c r="B477" s="8"/>
      <c r="C477" s="8"/>
      <c r="D477" s="8"/>
      <c r="E477" s="8"/>
      <c r="F477" s="8"/>
      <c r="G477" s="11"/>
      <c r="H477" s="8"/>
      <c r="I477" s="8"/>
      <c r="J477" s="49"/>
      <c r="K477" s="9"/>
    </row>
    <row r="478" spans="2:11" ht="20.149999999999999" customHeight="1" x14ac:dyDescent="0.35">
      <c r="B478" s="8"/>
      <c r="C478" s="8"/>
      <c r="D478" s="8"/>
      <c r="E478" s="8"/>
      <c r="F478" s="8"/>
      <c r="G478" s="11"/>
      <c r="H478" s="8"/>
      <c r="I478" s="8"/>
      <c r="J478" s="49"/>
      <c r="K478" s="9"/>
    </row>
    <row r="479" spans="2:11" ht="20.149999999999999" customHeight="1" x14ac:dyDescent="0.35">
      <c r="B479" s="8"/>
      <c r="C479" s="8"/>
      <c r="D479" s="8"/>
      <c r="E479" s="8"/>
      <c r="F479" s="8"/>
      <c r="G479" s="11"/>
      <c r="H479" s="8"/>
      <c r="I479" s="8"/>
      <c r="J479" s="49"/>
      <c r="K479" s="9"/>
    </row>
    <row r="480" spans="2:11" ht="20.149999999999999" customHeight="1" x14ac:dyDescent="0.35">
      <c r="B480" s="8"/>
      <c r="C480" s="8"/>
      <c r="D480" s="8"/>
      <c r="E480" s="8"/>
      <c r="F480" s="8"/>
      <c r="G480" s="11"/>
      <c r="H480" s="8"/>
      <c r="I480" s="8"/>
      <c r="J480" s="49"/>
      <c r="K480" s="9"/>
    </row>
    <row r="481" spans="2:11" ht="20.149999999999999" customHeight="1" x14ac:dyDescent="0.35">
      <c r="B481" s="8"/>
      <c r="C481" s="8"/>
      <c r="D481" s="8"/>
      <c r="E481" s="8"/>
      <c r="F481" s="8"/>
      <c r="G481" s="11"/>
      <c r="H481" s="8"/>
      <c r="I481" s="8"/>
      <c r="J481" s="49"/>
      <c r="K481" s="9"/>
    </row>
    <row r="482" spans="2:11" ht="20.149999999999999" customHeight="1" x14ac:dyDescent="0.35">
      <c r="B482" s="8"/>
      <c r="C482" s="8"/>
      <c r="D482" s="8"/>
      <c r="E482" s="8"/>
      <c r="F482" s="8"/>
      <c r="G482" s="11"/>
      <c r="H482" s="8"/>
      <c r="I482" s="8"/>
      <c r="J482" s="49"/>
      <c r="K482" s="9"/>
    </row>
    <row r="483" spans="2:11" ht="20.149999999999999" customHeight="1" x14ac:dyDescent="0.35">
      <c r="B483" s="8"/>
      <c r="C483" s="8"/>
      <c r="D483" s="8"/>
      <c r="E483" s="8"/>
      <c r="F483" s="8"/>
      <c r="G483" s="11"/>
      <c r="H483" s="8"/>
      <c r="I483" s="8"/>
      <c r="J483" s="49"/>
      <c r="K483" s="9"/>
    </row>
    <row r="484" spans="2:11" ht="20.149999999999999" customHeight="1" x14ac:dyDescent="0.35">
      <c r="B484" s="8"/>
      <c r="C484" s="8"/>
      <c r="D484" s="8"/>
      <c r="E484" s="8"/>
      <c r="F484" s="8"/>
      <c r="G484" s="11"/>
      <c r="H484" s="8"/>
      <c r="I484" s="8"/>
      <c r="J484" s="49"/>
      <c r="K484" s="9"/>
    </row>
    <row r="485" spans="2:11" ht="20.149999999999999" customHeight="1" x14ac:dyDescent="0.35">
      <c r="B485" s="8"/>
      <c r="C485" s="8"/>
      <c r="D485" s="8"/>
      <c r="E485" s="8"/>
      <c r="F485" s="8"/>
      <c r="G485" s="11"/>
      <c r="H485" s="8"/>
      <c r="I485" s="8"/>
      <c r="J485" s="49"/>
      <c r="K485" s="9"/>
    </row>
    <row r="486" spans="2:11" ht="20.149999999999999" customHeight="1" x14ac:dyDescent="0.35">
      <c r="B486" s="8"/>
      <c r="C486" s="8"/>
      <c r="D486" s="8"/>
      <c r="E486" s="8"/>
      <c r="F486" s="8"/>
      <c r="G486" s="11"/>
      <c r="H486" s="8"/>
      <c r="I486" s="8"/>
      <c r="J486" s="49"/>
      <c r="K486" s="9"/>
    </row>
    <row r="487" spans="2:11" ht="20.149999999999999" customHeight="1" x14ac:dyDescent="0.35">
      <c r="B487" s="8"/>
      <c r="C487" s="8"/>
      <c r="D487" s="8"/>
      <c r="E487" s="8"/>
      <c r="F487" s="8"/>
      <c r="G487" s="11"/>
      <c r="H487" s="8"/>
      <c r="I487" s="8"/>
      <c r="J487" s="49"/>
      <c r="K487" s="9"/>
    </row>
    <row r="488" spans="2:11" ht="20.149999999999999" customHeight="1" x14ac:dyDescent="0.35">
      <c r="B488" s="8"/>
      <c r="C488" s="8"/>
      <c r="D488" s="8"/>
      <c r="E488" s="8"/>
      <c r="F488" s="8"/>
      <c r="G488" s="11"/>
      <c r="H488" s="8"/>
      <c r="I488" s="8"/>
      <c r="J488" s="49"/>
      <c r="K488" s="9"/>
    </row>
    <row r="489" spans="2:11" ht="20.149999999999999" customHeight="1" x14ac:dyDescent="0.35">
      <c r="B489" s="8"/>
      <c r="C489" s="8"/>
      <c r="D489" s="8"/>
      <c r="E489" s="8"/>
      <c r="F489" s="8"/>
      <c r="G489" s="11"/>
      <c r="H489" s="8"/>
      <c r="I489" s="8"/>
      <c r="J489" s="49"/>
      <c r="K489" s="9"/>
    </row>
    <row r="490" spans="2:11" ht="20.149999999999999" customHeight="1" x14ac:dyDescent="0.35">
      <c r="B490" s="8"/>
      <c r="C490" s="8"/>
      <c r="D490" s="8"/>
      <c r="E490" s="8"/>
      <c r="F490" s="8"/>
      <c r="G490" s="11"/>
      <c r="H490" s="8"/>
      <c r="I490" s="8"/>
      <c r="J490" s="49"/>
      <c r="K490" s="9"/>
    </row>
    <row r="491" spans="2:11" ht="20.149999999999999" customHeight="1" x14ac:dyDescent="0.35">
      <c r="B491" s="8"/>
      <c r="C491" s="8"/>
      <c r="D491" s="8"/>
      <c r="E491" s="8"/>
      <c r="F491" s="8"/>
      <c r="G491" s="11"/>
      <c r="H491" s="8"/>
      <c r="I491" s="8"/>
      <c r="J491" s="49"/>
      <c r="K491" s="9"/>
    </row>
    <row r="492" spans="2:11" ht="20.149999999999999" customHeight="1" x14ac:dyDescent="0.35">
      <c r="B492" s="8"/>
      <c r="C492" s="8"/>
      <c r="D492" s="8"/>
      <c r="E492" s="8"/>
      <c r="F492" s="8"/>
      <c r="G492" s="11"/>
      <c r="H492" s="8"/>
      <c r="I492" s="8"/>
      <c r="J492" s="49"/>
      <c r="K492" s="9"/>
    </row>
    <row r="493" spans="2:11" ht="20.149999999999999" customHeight="1" x14ac:dyDescent="0.35">
      <c r="B493" s="8"/>
      <c r="C493" s="8"/>
      <c r="D493" s="8"/>
      <c r="E493" s="8"/>
      <c r="F493" s="8"/>
      <c r="G493" s="11"/>
      <c r="H493" s="8"/>
      <c r="I493" s="8"/>
      <c r="J493" s="49"/>
      <c r="K493" s="9"/>
    </row>
    <row r="494" spans="2:11" ht="20.149999999999999" customHeight="1" x14ac:dyDescent="0.35">
      <c r="B494" s="8"/>
      <c r="C494" s="8"/>
      <c r="D494" s="8"/>
      <c r="E494" s="8"/>
      <c r="F494" s="8"/>
      <c r="G494" s="11"/>
      <c r="H494" s="8"/>
      <c r="I494" s="8"/>
      <c r="J494" s="49"/>
      <c r="K494" s="9"/>
    </row>
    <row r="495" spans="2:11" ht="20.149999999999999" customHeight="1" x14ac:dyDescent="0.35">
      <c r="B495" s="8"/>
      <c r="C495" s="8"/>
      <c r="D495" s="8"/>
      <c r="E495" s="8"/>
      <c r="F495" s="8"/>
      <c r="G495" s="11"/>
      <c r="H495" s="8"/>
      <c r="I495" s="8"/>
      <c r="J495" s="49"/>
      <c r="K495" s="9"/>
    </row>
    <row r="496" spans="2:11" ht="20.149999999999999" customHeight="1" x14ac:dyDescent="0.35">
      <c r="B496" s="8"/>
      <c r="C496" s="8"/>
      <c r="D496" s="8"/>
      <c r="E496" s="8"/>
      <c r="F496" s="8"/>
      <c r="G496" s="11"/>
      <c r="H496" s="8"/>
      <c r="I496" s="8"/>
      <c r="J496" s="49"/>
      <c r="K496" s="9"/>
    </row>
    <row r="497" spans="2:11" ht="20.149999999999999" customHeight="1" x14ac:dyDescent="0.35">
      <c r="B497" s="8"/>
      <c r="C497" s="8"/>
      <c r="D497" s="8"/>
      <c r="E497" s="8"/>
      <c r="F497" s="8"/>
      <c r="G497" s="11"/>
      <c r="H497" s="8"/>
      <c r="I497" s="8"/>
      <c r="J497" s="49"/>
      <c r="K497" s="9"/>
    </row>
    <row r="498" spans="2:11" ht="20.149999999999999" customHeight="1" x14ac:dyDescent="0.35">
      <c r="B498" s="8"/>
      <c r="C498" s="8"/>
      <c r="D498" s="8"/>
      <c r="E498" s="8"/>
      <c r="F498" s="8"/>
      <c r="G498" s="11"/>
      <c r="H498" s="8"/>
      <c r="I498" s="8"/>
      <c r="J498" s="49"/>
      <c r="K498" s="9"/>
    </row>
    <row r="499" spans="2:11" ht="20.149999999999999" customHeight="1" x14ac:dyDescent="0.35">
      <c r="B499" s="8"/>
      <c r="C499" s="8"/>
      <c r="D499" s="8"/>
      <c r="E499" s="8"/>
      <c r="F499" s="8"/>
      <c r="G499" s="11"/>
      <c r="H499" s="8"/>
      <c r="I499" s="8"/>
      <c r="J499" s="49"/>
      <c r="K499" s="9"/>
    </row>
    <row r="500" spans="2:11" ht="20.149999999999999" customHeight="1" x14ac:dyDescent="0.35">
      <c r="B500" s="8"/>
      <c r="C500" s="8"/>
      <c r="D500" s="8"/>
      <c r="E500" s="8"/>
      <c r="F500" s="8"/>
      <c r="G500" s="11"/>
      <c r="H500" s="8"/>
      <c r="I500" s="8"/>
      <c r="J500" s="49"/>
      <c r="K500" s="9"/>
    </row>
    <row r="501" spans="2:11" ht="20.149999999999999" customHeight="1" x14ac:dyDescent="0.35">
      <c r="B501" s="8"/>
      <c r="C501" s="8"/>
      <c r="D501" s="8"/>
      <c r="E501" s="8"/>
      <c r="F501" s="8"/>
      <c r="G501" s="11"/>
      <c r="H501" s="8"/>
      <c r="I501" s="8"/>
      <c r="J501" s="49"/>
      <c r="K501" s="9"/>
    </row>
    <row r="502" spans="2:11" ht="20.149999999999999" customHeight="1" x14ac:dyDescent="0.35">
      <c r="B502" s="8"/>
      <c r="C502" s="8"/>
      <c r="D502" s="8"/>
      <c r="E502" s="8"/>
      <c r="F502" s="8"/>
      <c r="G502" s="11"/>
      <c r="H502" s="8"/>
      <c r="I502" s="8"/>
      <c r="J502" s="49"/>
      <c r="K502" s="9"/>
    </row>
    <row r="503" spans="2:11" ht="20.149999999999999" customHeight="1" x14ac:dyDescent="0.35">
      <c r="B503" s="8"/>
      <c r="C503" s="8"/>
      <c r="D503" s="8"/>
      <c r="E503" s="8"/>
      <c r="F503" s="8"/>
      <c r="G503" s="11"/>
      <c r="H503" s="8"/>
      <c r="I503" s="8"/>
      <c r="J503" s="49"/>
      <c r="K503" s="9"/>
    </row>
    <row r="504" spans="2:11" ht="20.149999999999999" customHeight="1" x14ac:dyDescent="0.35">
      <c r="B504" s="8"/>
      <c r="C504" s="8"/>
      <c r="D504" s="8"/>
      <c r="E504" s="8"/>
      <c r="F504" s="8"/>
      <c r="G504" s="11"/>
      <c r="H504" s="8"/>
      <c r="I504" s="8"/>
      <c r="J504" s="49"/>
      <c r="K504" s="9"/>
    </row>
    <row r="505" spans="2:11" ht="20.149999999999999" customHeight="1" x14ac:dyDescent="0.35">
      <c r="B505" s="8"/>
      <c r="C505" s="8"/>
      <c r="D505" s="8"/>
      <c r="E505" s="8"/>
      <c r="F505" s="8"/>
      <c r="G505" s="11"/>
      <c r="H505" s="8"/>
      <c r="I505" s="8"/>
      <c r="J505" s="49"/>
      <c r="K505" s="9"/>
    </row>
    <row r="506" spans="2:11" ht="20.149999999999999" customHeight="1" x14ac:dyDescent="0.35">
      <c r="B506" s="8"/>
      <c r="C506" s="8"/>
      <c r="D506" s="8"/>
      <c r="E506" s="8"/>
      <c r="F506" s="8"/>
      <c r="G506" s="11"/>
      <c r="H506" s="8"/>
      <c r="I506" s="8"/>
      <c r="J506" s="49"/>
      <c r="K506" s="9"/>
    </row>
    <row r="507" spans="2:11" ht="20.149999999999999" customHeight="1" x14ac:dyDescent="0.35">
      <c r="B507" s="8"/>
      <c r="C507" s="8"/>
      <c r="D507" s="8"/>
      <c r="E507" s="8"/>
      <c r="F507" s="8"/>
      <c r="G507" s="11"/>
      <c r="H507" s="8"/>
      <c r="I507" s="8"/>
      <c r="J507" s="49"/>
      <c r="K507" s="9"/>
    </row>
    <row r="508" spans="2:11" ht="20.149999999999999" customHeight="1" x14ac:dyDescent="0.35">
      <c r="B508" s="8"/>
      <c r="C508" s="8"/>
      <c r="D508" s="8"/>
      <c r="E508" s="8"/>
      <c r="F508" s="8"/>
      <c r="G508" s="11"/>
      <c r="H508" s="8"/>
      <c r="I508" s="8"/>
      <c r="J508" s="49"/>
      <c r="K508" s="9"/>
    </row>
    <row r="509" spans="2:11" ht="20.149999999999999" customHeight="1" x14ac:dyDescent="0.35">
      <c r="B509" s="8"/>
      <c r="C509" s="8"/>
      <c r="D509" s="8"/>
      <c r="E509" s="8"/>
      <c r="F509" s="8"/>
      <c r="G509" s="11"/>
      <c r="H509" s="8"/>
      <c r="I509" s="8"/>
      <c r="J509" s="49"/>
      <c r="K509" s="9"/>
    </row>
    <row r="510" spans="2:11" ht="20.149999999999999" customHeight="1" x14ac:dyDescent="0.35">
      <c r="B510" s="8"/>
      <c r="C510" s="8"/>
      <c r="D510" s="8"/>
      <c r="E510" s="8"/>
      <c r="F510" s="8"/>
      <c r="G510" s="11"/>
      <c r="H510" s="8"/>
      <c r="I510" s="8"/>
      <c r="J510" s="49"/>
      <c r="K510" s="9"/>
    </row>
    <row r="511" spans="2:11" ht="20.149999999999999" customHeight="1" x14ac:dyDescent="0.35">
      <c r="B511" s="8"/>
      <c r="C511" s="8"/>
      <c r="D511" s="8"/>
      <c r="E511" s="8"/>
      <c r="F511" s="8"/>
      <c r="G511" s="11"/>
      <c r="H511" s="8"/>
      <c r="I511" s="8"/>
      <c r="J511" s="49"/>
      <c r="K511" s="9"/>
    </row>
    <row r="512" spans="2:11" ht="20.149999999999999" customHeight="1" x14ac:dyDescent="0.35">
      <c r="B512" s="8"/>
      <c r="C512" s="8"/>
      <c r="D512" s="8"/>
      <c r="E512" s="8"/>
      <c r="F512" s="8"/>
      <c r="G512" s="11"/>
      <c r="H512" s="8"/>
      <c r="I512" s="8"/>
      <c r="J512" s="49"/>
      <c r="K512" s="9"/>
    </row>
    <row r="513" spans="2:11" ht="20.149999999999999" customHeight="1" x14ac:dyDescent="0.35">
      <c r="B513" s="8"/>
      <c r="C513" s="8"/>
      <c r="D513" s="8"/>
      <c r="E513" s="8"/>
      <c r="F513" s="8"/>
      <c r="G513" s="11"/>
      <c r="H513" s="8"/>
      <c r="I513" s="8"/>
      <c r="J513" s="49"/>
      <c r="K513" s="9"/>
    </row>
    <row r="514" spans="2:11" ht="20.149999999999999" customHeight="1" x14ac:dyDescent="0.35">
      <c r="B514" s="8"/>
      <c r="C514" s="8"/>
      <c r="D514" s="8"/>
      <c r="E514" s="8"/>
      <c r="F514" s="8"/>
      <c r="G514" s="11"/>
      <c r="H514" s="8"/>
      <c r="I514" s="8"/>
      <c r="J514" s="49"/>
      <c r="K514" s="9"/>
    </row>
    <row r="515" spans="2:11" ht="20.149999999999999" customHeight="1" x14ac:dyDescent="0.35">
      <c r="B515" s="8"/>
      <c r="C515" s="8"/>
      <c r="D515" s="8"/>
      <c r="E515" s="8"/>
      <c r="F515" s="8"/>
      <c r="G515" s="11"/>
      <c r="H515" s="8"/>
      <c r="I515" s="8"/>
      <c r="J515" s="49"/>
      <c r="K515" s="9"/>
    </row>
    <row r="516" spans="2:11" ht="20.149999999999999" customHeight="1" x14ac:dyDescent="0.35">
      <c r="B516" s="8"/>
      <c r="C516" s="8"/>
      <c r="D516" s="8"/>
      <c r="E516" s="8"/>
      <c r="F516" s="8"/>
      <c r="G516" s="11"/>
      <c r="H516" s="8"/>
      <c r="I516" s="8"/>
      <c r="J516" s="49"/>
      <c r="K516" s="9"/>
    </row>
    <row r="517" spans="2:11" ht="20.149999999999999" customHeight="1" x14ac:dyDescent="0.35">
      <c r="B517" s="8"/>
      <c r="C517" s="8"/>
      <c r="D517" s="8"/>
      <c r="E517" s="8"/>
      <c r="F517" s="8"/>
      <c r="G517" s="11"/>
      <c r="H517" s="8"/>
      <c r="I517" s="8"/>
      <c r="J517" s="49"/>
      <c r="K517" s="9"/>
    </row>
    <row r="518" spans="2:11" ht="20.149999999999999" customHeight="1" x14ac:dyDescent="0.35">
      <c r="B518" s="8"/>
      <c r="C518" s="8"/>
      <c r="D518" s="8"/>
      <c r="E518" s="8"/>
      <c r="F518" s="8"/>
      <c r="G518" s="11"/>
      <c r="H518" s="8"/>
      <c r="I518" s="8"/>
      <c r="J518" s="49"/>
      <c r="K518" s="9"/>
    </row>
    <row r="519" spans="2:11" ht="20.149999999999999" customHeight="1" x14ac:dyDescent="0.35">
      <c r="B519" s="8"/>
      <c r="C519" s="8"/>
      <c r="D519" s="8"/>
      <c r="E519" s="8"/>
      <c r="F519" s="8"/>
      <c r="G519" s="11"/>
      <c r="H519" s="8"/>
      <c r="I519" s="8"/>
      <c r="J519" s="49"/>
      <c r="K519" s="9"/>
    </row>
    <row r="520" spans="2:11" ht="20.149999999999999" customHeight="1" x14ac:dyDescent="0.35">
      <c r="B520" s="8"/>
      <c r="C520" s="8"/>
      <c r="D520" s="8"/>
      <c r="E520" s="8"/>
      <c r="F520" s="8"/>
      <c r="G520" s="11"/>
      <c r="H520" s="8"/>
      <c r="I520" s="8"/>
      <c r="J520" s="49"/>
      <c r="K520" s="9"/>
    </row>
    <row r="521" spans="2:11" ht="20.149999999999999" customHeight="1" x14ac:dyDescent="0.35">
      <c r="B521" s="8"/>
      <c r="C521" s="8"/>
      <c r="D521" s="8"/>
      <c r="E521" s="8"/>
      <c r="F521" s="8"/>
      <c r="G521" s="11"/>
      <c r="H521" s="8"/>
      <c r="I521" s="8"/>
      <c r="J521" s="49"/>
      <c r="K521" s="9"/>
    </row>
    <row r="522" spans="2:11" ht="20.149999999999999" customHeight="1" x14ac:dyDescent="0.35">
      <c r="B522" s="8"/>
      <c r="C522" s="8"/>
      <c r="D522" s="8"/>
      <c r="E522" s="8"/>
      <c r="F522" s="8"/>
      <c r="G522" s="11"/>
      <c r="H522" s="8"/>
      <c r="I522" s="8"/>
      <c r="J522" s="49"/>
      <c r="K522" s="9"/>
    </row>
    <row r="523" spans="2:11" ht="20.149999999999999" customHeight="1" x14ac:dyDescent="0.35">
      <c r="B523" s="8"/>
      <c r="C523" s="8"/>
      <c r="D523" s="8"/>
      <c r="E523" s="8"/>
      <c r="F523" s="8"/>
      <c r="G523" s="11"/>
      <c r="H523" s="8"/>
      <c r="I523" s="8"/>
      <c r="J523" s="49"/>
      <c r="K523" s="9"/>
    </row>
    <row r="524" spans="2:11" ht="20.149999999999999" customHeight="1" x14ac:dyDescent="0.35">
      <c r="B524" s="8"/>
      <c r="C524" s="8"/>
      <c r="D524" s="8"/>
      <c r="E524" s="8"/>
      <c r="F524" s="8"/>
      <c r="G524" s="11"/>
      <c r="H524" s="8"/>
      <c r="I524" s="8"/>
      <c r="J524" s="49"/>
      <c r="K524" s="9"/>
    </row>
    <row r="525" spans="2:11" ht="20.149999999999999" customHeight="1" x14ac:dyDescent="0.35">
      <c r="B525" s="8"/>
      <c r="C525" s="8"/>
      <c r="D525" s="8"/>
      <c r="E525" s="8"/>
      <c r="F525" s="8"/>
      <c r="G525" s="11"/>
      <c r="H525" s="8"/>
      <c r="I525" s="8"/>
      <c r="J525" s="49"/>
      <c r="K525" s="9"/>
    </row>
    <row r="526" spans="2:11" ht="20.149999999999999" customHeight="1" x14ac:dyDescent="0.35">
      <c r="B526" s="8"/>
      <c r="C526" s="8"/>
      <c r="D526" s="8"/>
      <c r="E526" s="8"/>
      <c r="F526" s="8"/>
      <c r="G526" s="11"/>
      <c r="H526" s="8"/>
      <c r="I526" s="8"/>
      <c r="J526" s="49"/>
      <c r="K526" s="9"/>
    </row>
    <row r="527" spans="2:11" ht="20.149999999999999" customHeight="1" x14ac:dyDescent="0.35">
      <c r="B527" s="8"/>
      <c r="C527" s="8"/>
      <c r="D527" s="8"/>
      <c r="E527" s="8"/>
      <c r="F527" s="8"/>
      <c r="G527" s="11"/>
      <c r="H527" s="8"/>
      <c r="I527" s="8"/>
      <c r="J527" s="49"/>
      <c r="K527" s="9"/>
    </row>
    <row r="528" spans="2:11" ht="20.149999999999999" customHeight="1" x14ac:dyDescent="0.35">
      <c r="B528" s="8"/>
      <c r="C528" s="8"/>
      <c r="D528" s="8"/>
      <c r="E528" s="8"/>
      <c r="F528" s="8"/>
      <c r="G528" s="11"/>
      <c r="H528" s="8"/>
      <c r="I528" s="8"/>
      <c r="J528" s="49"/>
      <c r="K528" s="9"/>
    </row>
    <row r="529" spans="2:11" ht="20.149999999999999" customHeight="1" x14ac:dyDescent="0.35">
      <c r="B529" s="8"/>
      <c r="C529" s="8"/>
      <c r="D529" s="8"/>
      <c r="E529" s="8"/>
      <c r="F529" s="8"/>
      <c r="G529" s="11"/>
      <c r="H529" s="8"/>
      <c r="I529" s="8"/>
      <c r="J529" s="49"/>
      <c r="K529" s="9"/>
    </row>
    <row r="530" spans="2:11" ht="20.149999999999999" customHeight="1" x14ac:dyDescent="0.35">
      <c r="B530" s="8"/>
      <c r="C530" s="8"/>
      <c r="D530" s="8"/>
      <c r="E530" s="8"/>
      <c r="F530" s="8"/>
      <c r="G530" s="11"/>
      <c r="H530" s="8"/>
      <c r="I530" s="8"/>
      <c r="J530" s="49"/>
      <c r="K530" s="9"/>
    </row>
    <row r="531" spans="2:11" ht="20.149999999999999" customHeight="1" x14ac:dyDescent="0.35">
      <c r="B531" s="8"/>
      <c r="C531" s="8"/>
      <c r="D531" s="8"/>
      <c r="E531" s="8"/>
      <c r="F531" s="8"/>
      <c r="G531" s="11"/>
      <c r="H531" s="8"/>
      <c r="I531" s="8"/>
      <c r="J531" s="49"/>
      <c r="K531" s="9"/>
    </row>
    <row r="532" spans="2:11" ht="20.149999999999999" customHeight="1" x14ac:dyDescent="0.35">
      <c r="B532" s="8"/>
      <c r="C532" s="8"/>
      <c r="D532" s="8"/>
      <c r="E532" s="8"/>
      <c r="F532" s="8"/>
      <c r="G532" s="11"/>
      <c r="H532" s="8"/>
      <c r="I532" s="8"/>
      <c r="J532" s="49"/>
      <c r="K532" s="9"/>
    </row>
    <row r="533" spans="2:11" ht="20.149999999999999" customHeight="1" x14ac:dyDescent="0.35">
      <c r="B533" s="8"/>
      <c r="C533" s="8"/>
      <c r="D533" s="8"/>
      <c r="E533" s="8"/>
      <c r="F533" s="8"/>
      <c r="G533" s="11"/>
      <c r="H533" s="8"/>
      <c r="I533" s="8"/>
      <c r="J533" s="49"/>
      <c r="K533" s="9"/>
    </row>
    <row r="534" spans="2:11" ht="20.149999999999999" customHeight="1" x14ac:dyDescent="0.35">
      <c r="B534" s="8"/>
      <c r="C534" s="8"/>
      <c r="D534" s="8"/>
      <c r="E534" s="8"/>
      <c r="F534" s="8"/>
      <c r="G534" s="11"/>
      <c r="H534" s="8"/>
      <c r="I534" s="8"/>
      <c r="J534" s="49"/>
      <c r="K534" s="9"/>
    </row>
    <row r="535" spans="2:11" ht="20.149999999999999" customHeight="1" x14ac:dyDescent="0.35">
      <c r="B535" s="8"/>
      <c r="C535" s="8"/>
      <c r="D535" s="8"/>
      <c r="E535" s="8"/>
      <c r="F535" s="8"/>
      <c r="G535" s="11"/>
      <c r="H535" s="8"/>
      <c r="I535" s="8"/>
      <c r="J535" s="49"/>
      <c r="K535" s="9"/>
    </row>
    <row r="536" spans="2:11" ht="20.149999999999999" customHeight="1" x14ac:dyDescent="0.35">
      <c r="B536" s="8"/>
      <c r="C536" s="8"/>
      <c r="D536" s="8"/>
      <c r="E536" s="8"/>
      <c r="F536" s="8"/>
      <c r="G536" s="11"/>
      <c r="H536" s="8"/>
      <c r="I536" s="8"/>
      <c r="J536" s="49"/>
      <c r="K536" s="9"/>
    </row>
    <row r="537" spans="2:11" ht="20.149999999999999" customHeight="1" x14ac:dyDescent="0.35">
      <c r="B537" s="8"/>
      <c r="C537" s="8"/>
      <c r="D537" s="8"/>
      <c r="E537" s="8"/>
      <c r="F537" s="8"/>
      <c r="G537" s="11"/>
      <c r="H537" s="8"/>
      <c r="I537" s="8"/>
      <c r="J537" s="49"/>
      <c r="K537" s="9"/>
    </row>
    <row r="538" spans="2:11" ht="20.149999999999999" customHeight="1" x14ac:dyDescent="0.35">
      <c r="B538" s="8"/>
      <c r="C538" s="8"/>
      <c r="D538" s="8"/>
      <c r="E538" s="8"/>
      <c r="F538" s="8"/>
      <c r="G538" s="11"/>
      <c r="H538" s="8"/>
      <c r="I538" s="8"/>
      <c r="J538" s="49"/>
      <c r="K538" s="9"/>
    </row>
    <row r="539" spans="2:11" ht="20.149999999999999" customHeight="1" x14ac:dyDescent="0.35">
      <c r="B539" s="8"/>
      <c r="C539" s="8"/>
      <c r="D539" s="8"/>
      <c r="E539" s="8"/>
      <c r="F539" s="8"/>
      <c r="G539" s="11"/>
      <c r="H539" s="8"/>
      <c r="I539" s="8"/>
      <c r="J539" s="49"/>
      <c r="K539" s="9"/>
    </row>
    <row r="540" spans="2:11" ht="20.149999999999999" customHeight="1" x14ac:dyDescent="0.35">
      <c r="B540" s="8"/>
      <c r="C540" s="8"/>
      <c r="D540" s="8"/>
      <c r="E540" s="8"/>
      <c r="F540" s="8"/>
      <c r="G540" s="11"/>
      <c r="H540" s="8"/>
      <c r="I540" s="8"/>
      <c r="J540" s="49"/>
      <c r="K540" s="9"/>
    </row>
    <row r="541" spans="2:11" ht="20.149999999999999" customHeight="1" x14ac:dyDescent="0.35">
      <c r="B541" s="8"/>
      <c r="C541" s="8"/>
      <c r="D541" s="8"/>
      <c r="E541" s="8"/>
      <c r="F541" s="8"/>
      <c r="G541" s="11"/>
      <c r="H541" s="8"/>
      <c r="I541" s="8"/>
      <c r="J541" s="49"/>
      <c r="K541" s="9"/>
    </row>
    <row r="542" spans="2:11" ht="20.149999999999999" customHeight="1" x14ac:dyDescent="0.35">
      <c r="B542" s="8"/>
      <c r="C542" s="8"/>
      <c r="D542" s="8"/>
      <c r="E542" s="8"/>
      <c r="F542" s="8"/>
      <c r="G542" s="11"/>
      <c r="H542" s="8"/>
      <c r="I542" s="8"/>
      <c r="J542" s="49"/>
      <c r="K542" s="9"/>
    </row>
    <row r="543" spans="2:11" ht="20.149999999999999" customHeight="1" x14ac:dyDescent="0.35">
      <c r="B543" s="8"/>
      <c r="C543" s="8"/>
      <c r="D543" s="8"/>
      <c r="E543" s="8"/>
      <c r="F543" s="8"/>
      <c r="G543" s="11"/>
      <c r="H543" s="8"/>
      <c r="I543" s="8"/>
      <c r="J543" s="49"/>
      <c r="K543" s="9"/>
    </row>
    <row r="544" spans="2:11" ht="20.149999999999999" customHeight="1" x14ac:dyDescent="0.35">
      <c r="B544" s="8"/>
      <c r="C544" s="8"/>
      <c r="D544" s="8"/>
      <c r="E544" s="8"/>
      <c r="F544" s="8"/>
      <c r="G544" s="11"/>
      <c r="H544" s="8"/>
      <c r="I544" s="8"/>
      <c r="J544" s="49"/>
      <c r="K544" s="9"/>
    </row>
    <row r="545" spans="2:11" ht="20.149999999999999" customHeight="1" x14ac:dyDescent="0.35">
      <c r="B545" s="8"/>
      <c r="C545" s="8"/>
      <c r="D545" s="8"/>
      <c r="E545" s="8"/>
      <c r="F545" s="8"/>
      <c r="G545" s="11"/>
      <c r="H545" s="8"/>
      <c r="I545" s="8"/>
      <c r="J545" s="49"/>
      <c r="K545" s="9"/>
    </row>
    <row r="546" spans="2:11" ht="20.149999999999999" customHeight="1" x14ac:dyDescent="0.35">
      <c r="B546" s="8"/>
      <c r="C546" s="8"/>
      <c r="D546" s="8"/>
      <c r="E546" s="8"/>
      <c r="F546" s="8"/>
      <c r="G546" s="11"/>
      <c r="H546" s="8"/>
      <c r="I546" s="8"/>
      <c r="J546" s="49"/>
      <c r="K546" s="9"/>
    </row>
    <row r="547" spans="2:11" ht="20.149999999999999" customHeight="1" x14ac:dyDescent="0.35">
      <c r="B547" s="8"/>
      <c r="C547" s="8"/>
      <c r="D547" s="8"/>
      <c r="E547" s="8"/>
      <c r="F547" s="8"/>
      <c r="G547" s="11"/>
      <c r="H547" s="8"/>
      <c r="I547" s="8"/>
      <c r="J547" s="49"/>
      <c r="K547" s="9"/>
    </row>
    <row r="548" spans="2:11" ht="20.149999999999999" customHeight="1" x14ac:dyDescent="0.35">
      <c r="B548" s="8"/>
      <c r="C548" s="8"/>
      <c r="D548" s="8"/>
      <c r="E548" s="8"/>
      <c r="F548" s="8"/>
      <c r="G548" s="11"/>
      <c r="H548" s="8"/>
      <c r="I548" s="8"/>
      <c r="J548" s="49"/>
      <c r="K548" s="9"/>
    </row>
    <row r="549" spans="2:11" ht="20.149999999999999" customHeight="1" x14ac:dyDescent="0.35">
      <c r="B549" s="8"/>
      <c r="C549" s="8"/>
      <c r="D549" s="8"/>
      <c r="E549" s="8"/>
      <c r="F549" s="8"/>
      <c r="G549" s="11"/>
      <c r="H549" s="8"/>
      <c r="I549" s="8"/>
      <c r="J549" s="49"/>
      <c r="K549" s="9"/>
    </row>
    <row r="550" spans="2:11" ht="20.149999999999999" customHeight="1" x14ac:dyDescent="0.35">
      <c r="B550" s="8"/>
      <c r="C550" s="8"/>
      <c r="D550" s="8"/>
      <c r="E550" s="8"/>
      <c r="F550" s="8"/>
      <c r="G550" s="11"/>
      <c r="H550" s="8"/>
      <c r="I550" s="8"/>
      <c r="J550" s="49"/>
      <c r="K550" s="9"/>
    </row>
    <row r="551" spans="2:11" ht="20.149999999999999" customHeight="1" x14ac:dyDescent="0.35">
      <c r="B551" s="8"/>
      <c r="C551" s="8"/>
      <c r="D551" s="8"/>
      <c r="E551" s="8"/>
      <c r="F551" s="8"/>
      <c r="G551" s="11"/>
      <c r="H551" s="8"/>
      <c r="I551" s="8"/>
      <c r="J551" s="49"/>
      <c r="K551" s="9"/>
    </row>
    <row r="552" spans="2:11" ht="20.149999999999999" customHeight="1" x14ac:dyDescent="0.35">
      <c r="B552" s="8"/>
      <c r="C552" s="8"/>
      <c r="D552" s="8"/>
      <c r="E552" s="8"/>
      <c r="F552" s="8"/>
      <c r="G552" s="11"/>
      <c r="H552" s="8"/>
      <c r="I552" s="8"/>
      <c r="J552" s="49"/>
      <c r="K552" s="9"/>
    </row>
    <row r="553" spans="2:11" ht="20.149999999999999" customHeight="1" x14ac:dyDescent="0.35">
      <c r="B553" s="8"/>
      <c r="C553" s="8"/>
      <c r="D553" s="8"/>
      <c r="E553" s="8"/>
      <c r="F553" s="8"/>
      <c r="G553" s="11"/>
      <c r="H553" s="8"/>
      <c r="I553" s="8"/>
      <c r="J553" s="49"/>
      <c r="K553" s="9"/>
    </row>
    <row r="554" spans="2:11" ht="20.149999999999999" customHeight="1" x14ac:dyDescent="0.35">
      <c r="B554" s="8"/>
      <c r="C554" s="8"/>
      <c r="D554" s="8"/>
      <c r="E554" s="8"/>
      <c r="F554" s="8"/>
      <c r="G554" s="11"/>
      <c r="H554" s="8"/>
      <c r="I554" s="8"/>
      <c r="J554" s="49"/>
      <c r="K554" s="9"/>
    </row>
    <row r="555" spans="2:11" ht="20.149999999999999" customHeight="1" x14ac:dyDescent="0.35">
      <c r="B555" s="8"/>
      <c r="C555" s="8"/>
      <c r="D555" s="8"/>
      <c r="E555" s="8"/>
      <c r="F555" s="8"/>
      <c r="G555" s="11"/>
      <c r="H555" s="8"/>
      <c r="I555" s="8"/>
      <c r="J555" s="49"/>
      <c r="K555" s="9"/>
    </row>
    <row r="556" spans="2:11" ht="20.149999999999999" customHeight="1" x14ac:dyDescent="0.35">
      <c r="B556" s="8"/>
      <c r="C556" s="8"/>
      <c r="D556" s="8"/>
      <c r="E556" s="8"/>
      <c r="F556" s="8"/>
      <c r="G556" s="11"/>
      <c r="H556" s="8"/>
      <c r="I556" s="8"/>
      <c r="J556" s="49"/>
      <c r="K556" s="9"/>
    </row>
    <row r="557" spans="2:11" ht="20.149999999999999" customHeight="1" x14ac:dyDescent="0.35">
      <c r="B557" s="8"/>
      <c r="C557" s="8"/>
      <c r="D557" s="8"/>
      <c r="E557" s="8"/>
      <c r="F557" s="8"/>
      <c r="G557" s="11"/>
      <c r="H557" s="8"/>
      <c r="I557" s="8"/>
      <c r="J557" s="49"/>
      <c r="K557" s="9"/>
    </row>
    <row r="558" spans="2:11" ht="20.149999999999999" customHeight="1" x14ac:dyDescent="0.35">
      <c r="B558" s="8"/>
      <c r="C558" s="8"/>
      <c r="D558" s="8"/>
      <c r="E558" s="8"/>
      <c r="F558" s="8"/>
      <c r="G558" s="11"/>
      <c r="H558" s="8"/>
      <c r="I558" s="8"/>
      <c r="J558" s="49"/>
      <c r="K558" s="9"/>
    </row>
    <row r="559" spans="2:11" ht="20.149999999999999" customHeight="1" x14ac:dyDescent="0.35">
      <c r="B559" s="8"/>
      <c r="C559" s="8"/>
      <c r="D559" s="8"/>
      <c r="E559" s="8"/>
      <c r="F559" s="8"/>
      <c r="G559" s="11"/>
      <c r="H559" s="8"/>
      <c r="I559" s="8"/>
      <c r="J559" s="49"/>
      <c r="K559" s="9"/>
    </row>
    <row r="560" spans="2:11" ht="20.149999999999999" customHeight="1" x14ac:dyDescent="0.35">
      <c r="B560" s="8"/>
      <c r="C560" s="8"/>
      <c r="D560" s="8"/>
      <c r="E560" s="8"/>
      <c r="F560" s="8"/>
      <c r="G560" s="11"/>
      <c r="H560" s="8"/>
      <c r="I560" s="8"/>
      <c r="J560" s="49"/>
      <c r="K560" s="9"/>
    </row>
    <row r="561" spans="2:11" ht="20.149999999999999" customHeight="1" x14ac:dyDescent="0.35">
      <c r="B561" s="8"/>
      <c r="C561" s="8"/>
      <c r="D561" s="8"/>
      <c r="E561" s="8"/>
      <c r="F561" s="8"/>
      <c r="G561" s="11"/>
      <c r="H561" s="8"/>
      <c r="I561" s="8"/>
      <c r="J561" s="49"/>
      <c r="K561" s="9"/>
    </row>
    <row r="562" spans="2:11" ht="20.149999999999999" customHeight="1" x14ac:dyDescent="0.35">
      <c r="B562" s="8"/>
      <c r="C562" s="8"/>
      <c r="D562" s="8"/>
      <c r="E562" s="8"/>
      <c r="F562" s="8"/>
      <c r="G562" s="11"/>
      <c r="H562" s="8"/>
      <c r="I562" s="8"/>
      <c r="J562" s="49"/>
      <c r="K562" s="9"/>
    </row>
    <row r="563" spans="2:11" ht="20.149999999999999" customHeight="1" x14ac:dyDescent="0.35">
      <c r="B563" s="8"/>
      <c r="C563" s="8"/>
      <c r="D563" s="8"/>
      <c r="E563" s="8"/>
      <c r="F563" s="8"/>
      <c r="G563" s="11"/>
      <c r="H563" s="8"/>
      <c r="I563" s="8"/>
      <c r="J563" s="49"/>
      <c r="K563" s="9"/>
    </row>
    <row r="564" spans="2:11" ht="20.149999999999999" customHeight="1" x14ac:dyDescent="0.35">
      <c r="B564" s="8"/>
      <c r="C564" s="8"/>
      <c r="D564" s="8"/>
      <c r="E564" s="8"/>
      <c r="F564" s="8"/>
      <c r="G564" s="11"/>
      <c r="H564" s="8"/>
      <c r="I564" s="8"/>
      <c r="J564" s="49"/>
      <c r="K564" s="9"/>
    </row>
    <row r="565" spans="2:11" ht="20.149999999999999" customHeight="1" x14ac:dyDescent="0.35">
      <c r="B565" s="8"/>
      <c r="C565" s="8"/>
      <c r="D565" s="8"/>
      <c r="E565" s="8"/>
      <c r="F565" s="8"/>
      <c r="G565" s="11"/>
      <c r="H565" s="8"/>
      <c r="I565" s="8"/>
      <c r="J565" s="49"/>
      <c r="K565" s="9"/>
    </row>
    <row r="566" spans="2:11" ht="20.149999999999999" customHeight="1" x14ac:dyDescent="0.35">
      <c r="B566" s="8"/>
      <c r="C566" s="8"/>
      <c r="D566" s="8"/>
      <c r="E566" s="8"/>
      <c r="F566" s="8"/>
      <c r="G566" s="11"/>
      <c r="H566" s="8"/>
      <c r="I566" s="8"/>
      <c r="J566" s="49"/>
      <c r="K566" s="9"/>
    </row>
    <row r="567" spans="2:11" ht="20.149999999999999" customHeight="1" x14ac:dyDescent="0.35">
      <c r="B567" s="8"/>
      <c r="C567" s="8"/>
      <c r="D567" s="8"/>
      <c r="E567" s="8"/>
      <c r="F567" s="8"/>
      <c r="G567" s="11"/>
      <c r="H567" s="8"/>
      <c r="I567" s="8"/>
      <c r="J567" s="49"/>
      <c r="K567" s="9"/>
    </row>
    <row r="568" spans="2:11" ht="20.149999999999999" customHeight="1" x14ac:dyDescent="0.35">
      <c r="B568" s="8"/>
      <c r="C568" s="8"/>
      <c r="D568" s="8"/>
      <c r="E568" s="8"/>
      <c r="F568" s="8"/>
      <c r="G568" s="11"/>
      <c r="H568" s="8"/>
      <c r="I568" s="8"/>
      <c r="J568" s="49"/>
      <c r="K568" s="9"/>
    </row>
    <row r="569" spans="2:11" ht="20.149999999999999" customHeight="1" x14ac:dyDescent="0.35">
      <c r="B569" s="8"/>
      <c r="C569" s="8"/>
      <c r="D569" s="8"/>
      <c r="E569" s="8"/>
      <c r="F569" s="8"/>
      <c r="G569" s="11"/>
      <c r="H569" s="8"/>
      <c r="I569" s="8"/>
      <c r="J569" s="49"/>
      <c r="K569" s="9"/>
    </row>
    <row r="570" spans="2:11" ht="20.149999999999999" customHeight="1" x14ac:dyDescent="0.35">
      <c r="B570" s="8"/>
      <c r="C570" s="8"/>
      <c r="D570" s="8"/>
      <c r="E570" s="8"/>
      <c r="F570" s="8"/>
      <c r="G570" s="11"/>
      <c r="H570" s="8"/>
      <c r="I570" s="8"/>
      <c r="J570" s="49"/>
      <c r="K570" s="9"/>
    </row>
    <row r="571" spans="2:11" ht="20.149999999999999" customHeight="1" x14ac:dyDescent="0.35">
      <c r="B571" s="8"/>
      <c r="C571" s="8"/>
      <c r="D571" s="8"/>
      <c r="E571" s="8"/>
      <c r="F571" s="8"/>
      <c r="G571" s="11"/>
      <c r="H571" s="8"/>
      <c r="I571" s="8"/>
      <c r="J571" s="49"/>
      <c r="K571" s="9"/>
    </row>
    <row r="572" spans="2:11" ht="20.149999999999999" customHeight="1" x14ac:dyDescent="0.35">
      <c r="B572" s="8"/>
      <c r="C572" s="8"/>
      <c r="D572" s="8"/>
      <c r="E572" s="8"/>
      <c r="F572" s="8"/>
      <c r="G572" s="11"/>
      <c r="H572" s="8"/>
      <c r="I572" s="8"/>
      <c r="J572" s="49"/>
      <c r="K572" s="9"/>
    </row>
    <row r="573" spans="2:11" ht="20.149999999999999" customHeight="1" x14ac:dyDescent="0.35">
      <c r="B573" s="8"/>
      <c r="C573" s="8"/>
      <c r="D573" s="8"/>
      <c r="E573" s="8"/>
      <c r="F573" s="8"/>
      <c r="G573" s="11"/>
      <c r="H573" s="8"/>
      <c r="I573" s="8"/>
      <c r="J573" s="49"/>
      <c r="K573" s="9"/>
    </row>
    <row r="574" spans="2:11" ht="20.149999999999999" customHeight="1" x14ac:dyDescent="0.35">
      <c r="B574" s="8"/>
      <c r="C574" s="8"/>
      <c r="D574" s="8"/>
      <c r="E574" s="8"/>
      <c r="F574" s="8"/>
      <c r="G574" s="11"/>
      <c r="H574" s="8"/>
      <c r="I574" s="8"/>
      <c r="J574" s="49"/>
      <c r="K574" s="9"/>
    </row>
    <row r="575" spans="2:11" ht="20.149999999999999" customHeight="1" x14ac:dyDescent="0.35">
      <c r="B575" s="8"/>
      <c r="C575" s="8"/>
      <c r="D575" s="8"/>
      <c r="E575" s="8"/>
      <c r="F575" s="8"/>
      <c r="G575" s="11"/>
      <c r="H575" s="8"/>
      <c r="I575" s="8"/>
      <c r="J575" s="49"/>
      <c r="K575" s="9"/>
    </row>
    <row r="576" spans="2:11" ht="20.149999999999999" customHeight="1" x14ac:dyDescent="0.35">
      <c r="B576" s="8"/>
      <c r="C576" s="8"/>
      <c r="D576" s="8"/>
      <c r="E576" s="8"/>
      <c r="F576" s="8"/>
      <c r="G576" s="11"/>
      <c r="H576" s="8"/>
      <c r="I576" s="8"/>
      <c r="J576" s="49"/>
      <c r="K576" s="9"/>
    </row>
    <row r="577" spans="2:11" ht="20.149999999999999" customHeight="1" x14ac:dyDescent="0.35">
      <c r="B577" s="8"/>
      <c r="C577" s="8"/>
      <c r="D577" s="8"/>
      <c r="E577" s="8"/>
      <c r="F577" s="8"/>
      <c r="G577" s="11"/>
      <c r="H577" s="8"/>
      <c r="I577" s="8"/>
      <c r="J577" s="49"/>
      <c r="K577" s="9"/>
    </row>
    <row r="578" spans="2:11" ht="20.149999999999999" customHeight="1" x14ac:dyDescent="0.35">
      <c r="B578" s="8"/>
      <c r="C578" s="8"/>
      <c r="D578" s="8"/>
      <c r="E578" s="8"/>
      <c r="F578" s="8"/>
      <c r="G578" s="11"/>
      <c r="H578" s="8"/>
      <c r="I578" s="8"/>
      <c r="J578" s="49"/>
      <c r="K578" s="9"/>
    </row>
    <row r="579" spans="2:11" ht="20.149999999999999" customHeight="1" x14ac:dyDescent="0.35">
      <c r="B579" s="8"/>
      <c r="C579" s="8"/>
      <c r="D579" s="8"/>
      <c r="E579" s="8"/>
      <c r="F579" s="8"/>
      <c r="G579" s="11"/>
      <c r="H579" s="8"/>
      <c r="I579" s="8"/>
      <c r="J579" s="49"/>
      <c r="K579" s="9"/>
    </row>
    <row r="580" spans="2:11" ht="20.149999999999999" customHeight="1" x14ac:dyDescent="0.35">
      <c r="B580" s="8"/>
      <c r="C580" s="8"/>
      <c r="D580" s="8"/>
      <c r="E580" s="8"/>
      <c r="F580" s="8"/>
      <c r="G580" s="11"/>
      <c r="H580" s="8"/>
      <c r="I580" s="8"/>
      <c r="J580" s="49"/>
      <c r="K580" s="9"/>
    </row>
    <row r="581" spans="2:11" ht="20.149999999999999" customHeight="1" x14ac:dyDescent="0.35">
      <c r="B581" s="8"/>
      <c r="C581" s="8"/>
      <c r="D581" s="8"/>
      <c r="E581" s="8"/>
      <c r="F581" s="8"/>
      <c r="G581" s="11"/>
      <c r="H581" s="8"/>
      <c r="I581" s="8"/>
      <c r="J581" s="49"/>
      <c r="K581" s="9"/>
    </row>
    <row r="582" spans="2:11" ht="20.149999999999999" customHeight="1" x14ac:dyDescent="0.35">
      <c r="B582" s="8"/>
      <c r="C582" s="8"/>
      <c r="D582" s="8"/>
      <c r="E582" s="8"/>
      <c r="F582" s="8"/>
      <c r="G582" s="11"/>
      <c r="H582" s="8"/>
      <c r="I582" s="8"/>
      <c r="J582" s="49"/>
      <c r="K582" s="9"/>
    </row>
    <row r="583" spans="2:11" ht="20.149999999999999" customHeight="1" x14ac:dyDescent="0.35">
      <c r="B583" s="8"/>
      <c r="C583" s="8"/>
      <c r="D583" s="8"/>
      <c r="E583" s="8"/>
      <c r="F583" s="8"/>
      <c r="G583" s="11"/>
      <c r="H583" s="8"/>
      <c r="I583" s="8"/>
      <c r="J583" s="49"/>
      <c r="K583" s="9"/>
    </row>
    <row r="584" spans="2:11" ht="20.149999999999999" customHeight="1" x14ac:dyDescent="0.35">
      <c r="B584" s="8"/>
      <c r="C584" s="8"/>
      <c r="D584" s="8"/>
      <c r="E584" s="8"/>
      <c r="F584" s="8"/>
      <c r="G584" s="11"/>
      <c r="H584" s="8"/>
      <c r="I584" s="8"/>
      <c r="J584" s="49"/>
      <c r="K584" s="9"/>
    </row>
    <row r="585" spans="2:11" ht="20.149999999999999" customHeight="1" x14ac:dyDescent="0.35">
      <c r="B585" s="8"/>
      <c r="C585" s="8"/>
      <c r="D585" s="8"/>
      <c r="E585" s="8"/>
      <c r="F585" s="8"/>
      <c r="G585" s="11"/>
      <c r="H585" s="8"/>
      <c r="I585" s="8"/>
      <c r="J585" s="49"/>
      <c r="K585" s="9"/>
    </row>
    <row r="586" spans="2:11" ht="20.149999999999999" customHeight="1" x14ac:dyDescent="0.35">
      <c r="B586" s="8"/>
      <c r="C586" s="8"/>
      <c r="D586" s="8"/>
      <c r="E586" s="8"/>
      <c r="F586" s="8"/>
      <c r="G586" s="11"/>
      <c r="H586" s="8"/>
      <c r="I586" s="8"/>
      <c r="J586" s="49"/>
      <c r="K586" s="9"/>
    </row>
    <row r="587" spans="2:11" ht="20.149999999999999" customHeight="1" x14ac:dyDescent="0.35">
      <c r="B587" s="8"/>
      <c r="C587" s="8"/>
      <c r="D587" s="8"/>
      <c r="E587" s="8"/>
      <c r="F587" s="8"/>
      <c r="G587" s="11"/>
      <c r="H587" s="8"/>
      <c r="I587" s="8"/>
      <c r="J587" s="49"/>
      <c r="K587" s="9"/>
    </row>
    <row r="588" spans="2:11" ht="20.149999999999999" customHeight="1" x14ac:dyDescent="0.35">
      <c r="B588" s="8"/>
      <c r="C588" s="8"/>
      <c r="D588" s="8"/>
      <c r="E588" s="8"/>
      <c r="F588" s="8"/>
      <c r="G588" s="11"/>
      <c r="H588" s="8"/>
      <c r="I588" s="8"/>
      <c r="J588" s="49"/>
      <c r="K588" s="9"/>
    </row>
    <row r="589" spans="2:11" ht="20.149999999999999" customHeight="1" x14ac:dyDescent="0.35">
      <c r="B589" s="8"/>
      <c r="C589" s="8"/>
      <c r="D589" s="8"/>
      <c r="E589" s="8"/>
      <c r="F589" s="8"/>
      <c r="G589" s="11"/>
      <c r="H589" s="8"/>
      <c r="I589" s="8"/>
      <c r="J589" s="49"/>
      <c r="K589" s="9"/>
    </row>
    <row r="590" spans="2:11" ht="20.149999999999999" customHeight="1" x14ac:dyDescent="0.35">
      <c r="B590" s="8"/>
      <c r="C590" s="8"/>
      <c r="D590" s="8"/>
      <c r="E590" s="8"/>
      <c r="F590" s="8"/>
      <c r="G590" s="11"/>
      <c r="H590" s="8"/>
      <c r="I590" s="8"/>
      <c r="J590" s="49"/>
      <c r="K590" s="9"/>
    </row>
    <row r="591" spans="2:11" ht="20.149999999999999" customHeight="1" x14ac:dyDescent="0.35">
      <c r="B591" s="8"/>
      <c r="C591" s="8"/>
      <c r="D591" s="8"/>
      <c r="E591" s="8"/>
      <c r="F591" s="8"/>
      <c r="G591" s="11"/>
      <c r="H591" s="8"/>
      <c r="I591" s="8"/>
      <c r="J591" s="49"/>
      <c r="K591" s="9"/>
    </row>
    <row r="592" spans="2:11" ht="20.149999999999999" customHeight="1" x14ac:dyDescent="0.35">
      <c r="B592" s="8"/>
      <c r="C592" s="8"/>
      <c r="D592" s="8"/>
      <c r="E592" s="8"/>
      <c r="F592" s="8"/>
      <c r="G592" s="11"/>
      <c r="H592" s="8"/>
      <c r="I592" s="8"/>
      <c r="J592" s="49"/>
      <c r="K592" s="9"/>
    </row>
    <row r="593" spans="2:11" ht="20.149999999999999" customHeight="1" x14ac:dyDescent="0.35">
      <c r="B593" s="8"/>
      <c r="C593" s="8"/>
      <c r="D593" s="8"/>
      <c r="E593" s="8"/>
      <c r="F593" s="8"/>
      <c r="G593" s="11"/>
      <c r="H593" s="8"/>
      <c r="I593" s="8"/>
      <c r="J593" s="49"/>
      <c r="K593" s="9"/>
    </row>
    <row r="594" spans="2:11" ht="20.149999999999999" customHeight="1" x14ac:dyDescent="0.35">
      <c r="B594" s="8"/>
      <c r="C594" s="8"/>
      <c r="D594" s="8"/>
      <c r="E594" s="8"/>
      <c r="F594" s="8"/>
      <c r="G594" s="11"/>
      <c r="H594" s="8"/>
      <c r="I594" s="8"/>
      <c r="J594" s="49"/>
      <c r="K594" s="9"/>
    </row>
    <row r="595" spans="2:11" ht="20.149999999999999" customHeight="1" x14ac:dyDescent="0.35">
      <c r="B595" s="8"/>
      <c r="C595" s="8"/>
      <c r="D595" s="8"/>
      <c r="E595" s="8"/>
      <c r="F595" s="8"/>
      <c r="G595" s="11"/>
      <c r="H595" s="8"/>
      <c r="I595" s="8"/>
      <c r="J595" s="49"/>
      <c r="K595" s="9"/>
    </row>
    <row r="596" spans="2:11" ht="20.149999999999999" customHeight="1" x14ac:dyDescent="0.35">
      <c r="B596" s="8"/>
      <c r="C596" s="8"/>
      <c r="D596" s="8"/>
      <c r="E596" s="8"/>
      <c r="F596" s="8"/>
      <c r="G596" s="11"/>
      <c r="H596" s="8"/>
      <c r="I596" s="8"/>
      <c r="J596" s="49"/>
      <c r="K596" s="9"/>
    </row>
    <row r="597" spans="2:11" ht="20.149999999999999" customHeight="1" x14ac:dyDescent="0.35">
      <c r="B597" s="8"/>
      <c r="C597" s="8"/>
      <c r="D597" s="8"/>
      <c r="E597" s="8"/>
      <c r="F597" s="8"/>
      <c r="G597" s="11"/>
      <c r="H597" s="8"/>
      <c r="I597" s="8"/>
      <c r="J597" s="49"/>
      <c r="K597" s="9"/>
    </row>
    <row r="598" spans="2:11" ht="20.149999999999999" customHeight="1" x14ac:dyDescent="0.35">
      <c r="B598" s="8"/>
      <c r="C598" s="8"/>
      <c r="D598" s="8"/>
      <c r="E598" s="8"/>
      <c r="F598" s="8"/>
      <c r="G598" s="11"/>
      <c r="H598" s="8"/>
      <c r="I598" s="8"/>
      <c r="J598" s="49"/>
      <c r="K598" s="9"/>
    </row>
    <row r="599" spans="2:11" ht="20.149999999999999" customHeight="1" x14ac:dyDescent="0.35">
      <c r="B599" s="8"/>
      <c r="C599" s="8"/>
      <c r="D599" s="8"/>
      <c r="E599" s="8"/>
      <c r="F599" s="8"/>
      <c r="G599" s="11"/>
      <c r="H599" s="8"/>
      <c r="I599" s="8"/>
      <c r="J599" s="49"/>
      <c r="K599" s="9"/>
    </row>
    <row r="600" spans="2:11" ht="20.149999999999999" customHeight="1" x14ac:dyDescent="0.35">
      <c r="B600" s="8"/>
      <c r="C600" s="8"/>
      <c r="D600" s="8"/>
      <c r="E600" s="8"/>
      <c r="F600" s="8"/>
      <c r="G600" s="11"/>
      <c r="H600" s="8"/>
      <c r="I600" s="8"/>
      <c r="J600" s="49"/>
      <c r="K600" s="9"/>
    </row>
    <row r="601" spans="2:11" ht="20.149999999999999" customHeight="1" x14ac:dyDescent="0.35">
      <c r="B601" s="8"/>
      <c r="C601" s="8"/>
      <c r="D601" s="8"/>
      <c r="E601" s="8"/>
      <c r="F601" s="8"/>
      <c r="G601" s="11"/>
      <c r="H601" s="8"/>
      <c r="I601" s="8"/>
      <c r="J601" s="49"/>
      <c r="K601" s="9"/>
    </row>
    <row r="602" spans="2:11" ht="20.149999999999999" customHeight="1" x14ac:dyDescent="0.35">
      <c r="B602" s="8"/>
      <c r="C602" s="8"/>
      <c r="D602" s="8"/>
      <c r="E602" s="8"/>
      <c r="F602" s="8"/>
      <c r="G602" s="11"/>
      <c r="H602" s="8"/>
      <c r="I602" s="8"/>
      <c r="J602" s="49"/>
      <c r="K602" s="9"/>
    </row>
    <row r="603" spans="2:11" ht="20.149999999999999" customHeight="1" x14ac:dyDescent="0.35">
      <c r="B603" s="8"/>
      <c r="C603" s="8"/>
      <c r="D603" s="8"/>
      <c r="E603" s="8"/>
      <c r="F603" s="8"/>
      <c r="G603" s="11"/>
      <c r="H603" s="8"/>
      <c r="I603" s="8"/>
      <c r="J603" s="49"/>
      <c r="K603" s="9"/>
    </row>
    <row r="604" spans="2:11" ht="20.149999999999999" customHeight="1" x14ac:dyDescent="0.35">
      <c r="B604" s="8"/>
      <c r="C604" s="8"/>
      <c r="D604" s="8"/>
      <c r="E604" s="8"/>
      <c r="F604" s="8"/>
      <c r="G604" s="11"/>
      <c r="H604" s="8"/>
      <c r="I604" s="8"/>
      <c r="J604" s="49"/>
      <c r="K604" s="9"/>
    </row>
    <row r="605" spans="2:11" ht="20.149999999999999" customHeight="1" x14ac:dyDescent="0.35">
      <c r="B605" s="8"/>
      <c r="C605" s="8"/>
      <c r="D605" s="8"/>
      <c r="E605" s="8"/>
      <c r="F605" s="8"/>
      <c r="G605" s="11"/>
      <c r="H605" s="8"/>
      <c r="I605" s="8"/>
      <c r="J605" s="49"/>
      <c r="K605" s="9"/>
    </row>
    <row r="606" spans="2:11" ht="20.149999999999999" customHeight="1" x14ac:dyDescent="0.35">
      <c r="B606" s="8"/>
      <c r="C606" s="8"/>
      <c r="D606" s="8"/>
      <c r="E606" s="8"/>
      <c r="F606" s="8"/>
      <c r="G606" s="11"/>
      <c r="H606" s="8"/>
      <c r="I606" s="8"/>
      <c r="J606" s="49"/>
      <c r="K606" s="9"/>
    </row>
    <row r="607" spans="2:11" ht="20.149999999999999" customHeight="1" x14ac:dyDescent="0.35">
      <c r="B607" s="8"/>
      <c r="C607" s="8"/>
      <c r="D607" s="8"/>
      <c r="E607" s="8"/>
      <c r="F607" s="8"/>
      <c r="G607" s="11"/>
      <c r="H607" s="8"/>
      <c r="I607" s="8"/>
      <c r="J607" s="49"/>
      <c r="K607" s="9"/>
    </row>
    <row r="608" spans="2:11" ht="20.149999999999999" customHeight="1" x14ac:dyDescent="0.35">
      <c r="B608" s="8"/>
      <c r="C608" s="8"/>
      <c r="D608" s="8"/>
      <c r="E608" s="8"/>
      <c r="F608" s="8"/>
      <c r="G608" s="11"/>
      <c r="H608" s="8"/>
      <c r="I608" s="8"/>
      <c r="J608" s="49"/>
      <c r="K608" s="9"/>
    </row>
    <row r="609" spans="2:11" ht="20.149999999999999" customHeight="1" x14ac:dyDescent="0.35">
      <c r="B609" s="8"/>
      <c r="C609" s="8"/>
      <c r="D609" s="8"/>
      <c r="E609" s="8"/>
      <c r="F609" s="8"/>
      <c r="G609" s="11"/>
      <c r="H609" s="8"/>
      <c r="I609" s="8"/>
      <c r="J609" s="49"/>
      <c r="K609" s="9"/>
    </row>
    <row r="610" spans="2:11" ht="20.149999999999999" customHeight="1" x14ac:dyDescent="0.35">
      <c r="B610" s="8"/>
      <c r="C610" s="8"/>
      <c r="D610" s="8"/>
      <c r="E610" s="8"/>
      <c r="F610" s="8"/>
      <c r="G610" s="11"/>
      <c r="H610" s="8"/>
      <c r="I610" s="8"/>
      <c r="J610" s="49"/>
      <c r="K610" s="9"/>
    </row>
    <row r="611" spans="2:11" ht="20.149999999999999" customHeight="1" x14ac:dyDescent="0.35">
      <c r="B611" s="8"/>
      <c r="C611" s="8"/>
      <c r="D611" s="8"/>
      <c r="E611" s="8"/>
      <c r="F611" s="8"/>
      <c r="G611" s="11"/>
      <c r="H611" s="8"/>
      <c r="I611" s="8"/>
      <c r="J611" s="49"/>
      <c r="K611" s="9"/>
    </row>
    <row r="612" spans="2:11" ht="20.149999999999999" customHeight="1" x14ac:dyDescent="0.35">
      <c r="B612" s="8"/>
      <c r="C612" s="8"/>
      <c r="D612" s="8"/>
      <c r="E612" s="8"/>
      <c r="F612" s="8"/>
      <c r="G612" s="11"/>
      <c r="H612" s="8"/>
      <c r="I612" s="8"/>
      <c r="J612" s="49"/>
      <c r="K612" s="9"/>
    </row>
    <row r="613" spans="2:11" ht="20.149999999999999" customHeight="1" x14ac:dyDescent="0.35">
      <c r="B613" s="8"/>
      <c r="C613" s="8"/>
      <c r="D613" s="8"/>
      <c r="E613" s="8"/>
      <c r="F613" s="8"/>
      <c r="G613" s="11"/>
      <c r="H613" s="8"/>
      <c r="I613" s="8"/>
      <c r="J613" s="49"/>
      <c r="K613" s="9"/>
    </row>
    <row r="614" spans="2:11" ht="20.149999999999999" customHeight="1" x14ac:dyDescent="0.35">
      <c r="B614" s="8"/>
      <c r="C614" s="8"/>
      <c r="D614" s="8"/>
      <c r="E614" s="8"/>
      <c r="F614" s="8"/>
      <c r="G614" s="11"/>
      <c r="H614" s="8"/>
      <c r="I614" s="8"/>
      <c r="J614" s="49"/>
      <c r="K614" s="9"/>
    </row>
    <row r="615" spans="2:11" ht="20.149999999999999" customHeight="1" x14ac:dyDescent="0.35">
      <c r="B615" s="8"/>
      <c r="C615" s="8"/>
      <c r="D615" s="8"/>
      <c r="E615" s="8"/>
      <c r="F615" s="8"/>
      <c r="G615" s="11"/>
      <c r="H615" s="8"/>
      <c r="I615" s="8"/>
      <c r="J615" s="49"/>
      <c r="K615" s="9"/>
    </row>
    <row r="616" spans="2:11" ht="20.149999999999999" customHeight="1" x14ac:dyDescent="0.35">
      <c r="B616" s="8"/>
      <c r="C616" s="8"/>
      <c r="D616" s="8"/>
      <c r="E616" s="8"/>
      <c r="F616" s="8"/>
      <c r="G616" s="11"/>
      <c r="H616" s="8"/>
      <c r="I616" s="8"/>
      <c r="J616" s="49"/>
      <c r="K616" s="9"/>
    </row>
    <row r="617" spans="2:11" ht="20.149999999999999" customHeight="1" x14ac:dyDescent="0.35">
      <c r="B617" s="8"/>
      <c r="C617" s="8"/>
      <c r="D617" s="8"/>
      <c r="E617" s="8"/>
      <c r="F617" s="8"/>
      <c r="G617" s="11"/>
      <c r="H617" s="8"/>
      <c r="I617" s="8"/>
      <c r="J617" s="49"/>
      <c r="K617" s="9"/>
    </row>
    <row r="618" spans="2:11" ht="20.149999999999999" customHeight="1" x14ac:dyDescent="0.35">
      <c r="B618" s="8"/>
      <c r="C618" s="8"/>
      <c r="D618" s="8"/>
      <c r="E618" s="8"/>
      <c r="F618" s="8"/>
      <c r="G618" s="11"/>
      <c r="H618" s="8"/>
      <c r="I618" s="8"/>
      <c r="J618" s="49"/>
      <c r="K618" s="9"/>
    </row>
    <row r="619" spans="2:11" ht="20.149999999999999" customHeight="1" x14ac:dyDescent="0.35">
      <c r="B619" s="8"/>
      <c r="C619" s="8"/>
      <c r="D619" s="8"/>
      <c r="E619" s="8"/>
      <c r="F619" s="8"/>
      <c r="G619" s="11"/>
      <c r="H619" s="8"/>
      <c r="I619" s="8"/>
      <c r="J619" s="49"/>
      <c r="K619" s="9"/>
    </row>
    <row r="620" spans="2:11" ht="20.149999999999999" customHeight="1" x14ac:dyDescent="0.35">
      <c r="B620" s="8"/>
      <c r="C620" s="8"/>
      <c r="D620" s="8"/>
      <c r="E620" s="8"/>
      <c r="F620" s="8"/>
      <c r="G620" s="11"/>
      <c r="H620" s="8"/>
      <c r="I620" s="8"/>
      <c r="J620" s="49"/>
      <c r="K620" s="9"/>
    </row>
    <row r="621" spans="2:11" ht="20.149999999999999" customHeight="1" x14ac:dyDescent="0.35">
      <c r="B621" s="8"/>
      <c r="C621" s="8"/>
      <c r="D621" s="8"/>
      <c r="E621" s="8"/>
      <c r="F621" s="8"/>
      <c r="G621" s="11"/>
      <c r="H621" s="8"/>
      <c r="I621" s="8"/>
      <c r="J621" s="49"/>
      <c r="K621" s="9"/>
    </row>
    <row r="622" spans="2:11" ht="20.149999999999999" customHeight="1" x14ac:dyDescent="0.35">
      <c r="B622" s="8"/>
      <c r="C622" s="8"/>
      <c r="D622" s="8"/>
      <c r="E622" s="8"/>
      <c r="F622" s="8"/>
      <c r="G622" s="11"/>
      <c r="H622" s="8"/>
      <c r="I622" s="8"/>
      <c r="J622" s="49"/>
      <c r="K622" s="9"/>
    </row>
    <row r="623" spans="2:11" ht="20.149999999999999" customHeight="1" x14ac:dyDescent="0.35">
      <c r="B623" s="8"/>
      <c r="C623" s="8"/>
      <c r="D623" s="8"/>
      <c r="E623" s="8"/>
      <c r="F623" s="8"/>
      <c r="G623" s="11"/>
      <c r="H623" s="8"/>
      <c r="I623" s="8"/>
      <c r="J623" s="49"/>
      <c r="K623" s="9"/>
    </row>
    <row r="624" spans="2:11" ht="20.149999999999999" customHeight="1" x14ac:dyDescent="0.35">
      <c r="B624" s="8"/>
      <c r="C624" s="8"/>
      <c r="D624" s="8"/>
      <c r="E624" s="8"/>
      <c r="F624" s="8"/>
      <c r="G624" s="11"/>
      <c r="H624" s="8"/>
      <c r="I624" s="8"/>
      <c r="J624" s="49"/>
      <c r="K624" s="9"/>
    </row>
    <row r="625" spans="2:11" ht="20.149999999999999" customHeight="1" x14ac:dyDescent="0.35">
      <c r="B625" s="8"/>
      <c r="C625" s="8"/>
      <c r="D625" s="8"/>
      <c r="E625" s="8"/>
      <c r="F625" s="8"/>
      <c r="G625" s="11"/>
      <c r="H625" s="8"/>
      <c r="I625" s="8"/>
      <c r="J625" s="49"/>
      <c r="K625" s="9"/>
    </row>
    <row r="626" spans="2:11" ht="20.149999999999999" customHeight="1" x14ac:dyDescent="0.35">
      <c r="B626" s="8"/>
      <c r="C626" s="8"/>
      <c r="D626" s="8"/>
      <c r="E626" s="8"/>
      <c r="F626" s="8"/>
      <c r="G626" s="11"/>
      <c r="H626" s="8"/>
      <c r="I626" s="8"/>
      <c r="J626" s="49"/>
      <c r="K626" s="9"/>
    </row>
    <row r="627" spans="2:11" ht="20.149999999999999" customHeight="1" x14ac:dyDescent="0.35">
      <c r="B627" s="8"/>
      <c r="C627" s="8"/>
      <c r="D627" s="8"/>
      <c r="E627" s="8"/>
      <c r="F627" s="8"/>
      <c r="G627" s="11"/>
      <c r="H627" s="8"/>
      <c r="I627" s="8"/>
      <c r="J627" s="49"/>
      <c r="K627" s="9"/>
    </row>
    <row r="628" spans="2:11" ht="20.149999999999999" customHeight="1" x14ac:dyDescent="0.35">
      <c r="B628" s="8"/>
      <c r="C628" s="8"/>
      <c r="D628" s="8"/>
      <c r="E628" s="8"/>
      <c r="F628" s="8"/>
      <c r="G628" s="11"/>
      <c r="H628" s="8"/>
      <c r="I628" s="8"/>
      <c r="J628" s="49"/>
      <c r="K628" s="9"/>
    </row>
    <row r="629" spans="2:11" ht="20.149999999999999" customHeight="1" x14ac:dyDescent="0.35">
      <c r="B629" s="8"/>
      <c r="C629" s="8"/>
      <c r="D629" s="8"/>
      <c r="E629" s="8"/>
      <c r="F629" s="8"/>
      <c r="G629" s="11"/>
      <c r="H629" s="8"/>
      <c r="I629" s="8"/>
      <c r="J629" s="49"/>
      <c r="K629" s="9"/>
    </row>
    <row r="630" spans="2:11" ht="20.149999999999999" customHeight="1" x14ac:dyDescent="0.35">
      <c r="B630" s="8"/>
      <c r="C630" s="8"/>
      <c r="D630" s="8"/>
      <c r="E630" s="8"/>
      <c r="F630" s="8"/>
      <c r="G630" s="11"/>
      <c r="H630" s="8"/>
      <c r="I630" s="8"/>
      <c r="J630" s="49"/>
      <c r="K630" s="9"/>
    </row>
    <row r="631" spans="2:11" ht="20.149999999999999" customHeight="1" x14ac:dyDescent="0.35">
      <c r="B631" s="8"/>
      <c r="C631" s="8"/>
      <c r="D631" s="8"/>
      <c r="E631" s="8"/>
      <c r="F631" s="8"/>
      <c r="G631" s="11"/>
      <c r="H631" s="8"/>
      <c r="I631" s="8"/>
      <c r="J631" s="49"/>
      <c r="K631" s="9"/>
    </row>
    <row r="632" spans="2:11" ht="20.149999999999999" customHeight="1" x14ac:dyDescent="0.35">
      <c r="B632" s="8"/>
      <c r="C632" s="8"/>
      <c r="D632" s="8"/>
      <c r="E632" s="8"/>
      <c r="F632" s="8"/>
      <c r="G632" s="11"/>
      <c r="H632" s="8"/>
      <c r="I632" s="8"/>
      <c r="J632" s="49"/>
      <c r="K632" s="9"/>
    </row>
    <row r="633" spans="2:11" ht="20.149999999999999" customHeight="1" x14ac:dyDescent="0.35">
      <c r="B633" s="8"/>
      <c r="C633" s="8"/>
      <c r="D633" s="8"/>
      <c r="E633" s="8"/>
      <c r="F633" s="8"/>
      <c r="G633" s="11"/>
      <c r="H633" s="8"/>
      <c r="I633" s="8"/>
      <c r="J633" s="49"/>
      <c r="K633" s="9"/>
    </row>
    <row r="634" spans="2:11" ht="20.149999999999999" customHeight="1" x14ac:dyDescent="0.35">
      <c r="B634" s="8"/>
      <c r="C634" s="8"/>
      <c r="D634" s="8"/>
      <c r="E634" s="8"/>
      <c r="F634" s="8"/>
      <c r="G634" s="11"/>
      <c r="H634" s="8"/>
      <c r="I634" s="8"/>
      <c r="J634" s="49"/>
      <c r="K634" s="9"/>
    </row>
    <row r="635" spans="2:11" ht="20.149999999999999" customHeight="1" x14ac:dyDescent="0.35">
      <c r="B635" s="8"/>
      <c r="C635" s="8"/>
      <c r="D635" s="8"/>
      <c r="E635" s="8"/>
      <c r="F635" s="8"/>
      <c r="G635" s="11"/>
      <c r="H635" s="8"/>
      <c r="I635" s="8"/>
      <c r="J635" s="49"/>
      <c r="K635" s="9"/>
    </row>
    <row r="636" spans="2:11" ht="20.149999999999999" customHeight="1" x14ac:dyDescent="0.35">
      <c r="B636" s="8"/>
      <c r="C636" s="8"/>
      <c r="D636" s="8"/>
      <c r="E636" s="8"/>
      <c r="F636" s="8"/>
      <c r="G636" s="11"/>
      <c r="H636" s="8"/>
      <c r="I636" s="8"/>
      <c r="J636" s="49"/>
      <c r="K636" s="9"/>
    </row>
    <row r="637" spans="2:11" ht="20.149999999999999" customHeight="1" x14ac:dyDescent="0.35">
      <c r="B637" s="8"/>
      <c r="C637" s="8"/>
      <c r="D637" s="8"/>
      <c r="E637" s="8"/>
      <c r="F637" s="8"/>
      <c r="G637" s="11"/>
      <c r="H637" s="8"/>
      <c r="I637" s="8"/>
      <c r="J637" s="49"/>
      <c r="K637" s="9"/>
    </row>
    <row r="638" spans="2:11" ht="20.149999999999999" customHeight="1" x14ac:dyDescent="0.35">
      <c r="B638" s="8"/>
      <c r="C638" s="8"/>
      <c r="D638" s="8"/>
      <c r="E638" s="8"/>
      <c r="F638" s="8"/>
      <c r="G638" s="11"/>
      <c r="H638" s="8"/>
      <c r="I638" s="8"/>
      <c r="J638" s="49"/>
      <c r="K638" s="9"/>
    </row>
    <row r="639" spans="2:11" ht="20.149999999999999" customHeight="1" x14ac:dyDescent="0.35">
      <c r="B639" s="8"/>
      <c r="C639" s="8"/>
      <c r="D639" s="8"/>
      <c r="E639" s="8"/>
      <c r="F639" s="8"/>
      <c r="G639" s="11"/>
      <c r="H639" s="8"/>
      <c r="I639" s="8"/>
      <c r="J639" s="49"/>
      <c r="K639" s="9"/>
    </row>
    <row r="640" spans="2:11" ht="20.149999999999999" customHeight="1" x14ac:dyDescent="0.35">
      <c r="B640" s="8"/>
      <c r="C640" s="8"/>
      <c r="D640" s="8"/>
      <c r="E640" s="8"/>
      <c r="F640" s="8"/>
      <c r="G640" s="11"/>
      <c r="H640" s="8"/>
      <c r="I640" s="8"/>
      <c r="J640" s="49"/>
      <c r="K640" s="9"/>
    </row>
    <row r="641" spans="2:11" ht="20.149999999999999" customHeight="1" x14ac:dyDescent="0.35">
      <c r="B641" s="8"/>
      <c r="C641" s="8"/>
      <c r="D641" s="8"/>
      <c r="E641" s="8"/>
      <c r="F641" s="8"/>
      <c r="G641" s="11"/>
      <c r="H641" s="8"/>
      <c r="I641" s="8"/>
      <c r="J641" s="49"/>
      <c r="K641" s="9"/>
    </row>
    <row r="642" spans="2:11" ht="20.149999999999999" customHeight="1" x14ac:dyDescent="0.35">
      <c r="B642" s="8"/>
      <c r="C642" s="8"/>
      <c r="D642" s="8"/>
      <c r="E642" s="8"/>
      <c r="F642" s="8"/>
      <c r="G642" s="11"/>
      <c r="H642" s="8"/>
      <c r="I642" s="8"/>
      <c r="J642" s="49"/>
      <c r="K642" s="9"/>
    </row>
    <row r="643" spans="2:11" ht="20.149999999999999" customHeight="1" x14ac:dyDescent="0.35">
      <c r="B643" s="8"/>
      <c r="C643" s="8"/>
      <c r="D643" s="8"/>
      <c r="E643" s="8"/>
      <c r="F643" s="8"/>
      <c r="G643" s="11"/>
      <c r="H643" s="8"/>
      <c r="I643" s="8"/>
      <c r="J643" s="49"/>
      <c r="K643" s="9"/>
    </row>
    <row r="644" spans="2:11" ht="20.149999999999999" customHeight="1" x14ac:dyDescent="0.35">
      <c r="B644" s="8"/>
      <c r="C644" s="8"/>
      <c r="D644" s="8"/>
      <c r="E644" s="8"/>
      <c r="F644" s="8"/>
      <c r="G644" s="11"/>
      <c r="H644" s="8"/>
      <c r="I644" s="8"/>
      <c r="J644" s="49"/>
      <c r="K644" s="9"/>
    </row>
    <row r="645" spans="2:11" ht="20.149999999999999" customHeight="1" x14ac:dyDescent="0.35">
      <c r="B645" s="8"/>
      <c r="C645" s="8"/>
      <c r="D645" s="8"/>
      <c r="E645" s="8"/>
      <c r="F645" s="8"/>
      <c r="G645" s="11"/>
      <c r="H645" s="8"/>
      <c r="I645" s="8"/>
      <c r="J645" s="49"/>
      <c r="K645" s="9"/>
    </row>
    <row r="646" spans="2:11" ht="20.149999999999999" customHeight="1" x14ac:dyDescent="0.35">
      <c r="B646" s="8"/>
      <c r="C646" s="8"/>
      <c r="D646" s="8"/>
      <c r="E646" s="8"/>
      <c r="F646" s="8"/>
      <c r="G646" s="11"/>
      <c r="H646" s="8"/>
      <c r="I646" s="8"/>
      <c r="J646" s="49"/>
      <c r="K646" s="9"/>
    </row>
    <row r="647" spans="2:11" ht="20.149999999999999" customHeight="1" x14ac:dyDescent="0.35">
      <c r="B647" s="8"/>
      <c r="C647" s="8"/>
      <c r="D647" s="8"/>
      <c r="E647" s="8"/>
      <c r="F647" s="8"/>
      <c r="G647" s="11"/>
      <c r="H647" s="8"/>
      <c r="I647" s="8"/>
      <c r="J647" s="49"/>
      <c r="K647" s="9"/>
    </row>
    <row r="648" spans="2:11" ht="20.149999999999999" customHeight="1" x14ac:dyDescent="0.35">
      <c r="B648" s="8"/>
      <c r="C648" s="8"/>
      <c r="D648" s="8"/>
      <c r="E648" s="8"/>
      <c r="F648" s="8"/>
      <c r="G648" s="11"/>
      <c r="H648" s="8"/>
      <c r="I648" s="8"/>
      <c r="J648" s="49"/>
      <c r="K648" s="9"/>
    </row>
    <row r="649" spans="2:11" ht="20.149999999999999" customHeight="1" x14ac:dyDescent="0.35">
      <c r="B649" s="8"/>
      <c r="C649" s="8"/>
      <c r="D649" s="8"/>
      <c r="E649" s="8"/>
      <c r="F649" s="8"/>
      <c r="G649" s="11"/>
      <c r="H649" s="8"/>
      <c r="I649" s="8"/>
      <c r="J649" s="49"/>
      <c r="K649" s="9"/>
    </row>
    <row r="650" spans="2:11" ht="20.149999999999999" customHeight="1" x14ac:dyDescent="0.35">
      <c r="B650" s="8"/>
      <c r="C650" s="8"/>
      <c r="D650" s="8"/>
      <c r="E650" s="8"/>
      <c r="F650" s="8"/>
      <c r="G650" s="11"/>
      <c r="H650" s="8"/>
      <c r="I650" s="8"/>
      <c r="J650" s="49"/>
      <c r="K650" s="9"/>
    </row>
    <row r="651" spans="2:11" ht="20.149999999999999" customHeight="1" x14ac:dyDescent="0.35">
      <c r="B651" s="8"/>
      <c r="C651" s="8"/>
      <c r="D651" s="8"/>
      <c r="E651" s="8"/>
      <c r="F651" s="8"/>
      <c r="G651" s="11"/>
      <c r="H651" s="8"/>
      <c r="I651" s="8"/>
      <c r="J651" s="49"/>
      <c r="K651" s="9"/>
    </row>
    <row r="652" spans="2:11" ht="20.149999999999999" customHeight="1" x14ac:dyDescent="0.35">
      <c r="B652" s="8"/>
      <c r="C652" s="8"/>
      <c r="D652" s="8"/>
      <c r="E652" s="8"/>
      <c r="F652" s="8"/>
      <c r="G652" s="11"/>
      <c r="H652" s="8"/>
      <c r="I652" s="8"/>
      <c r="J652" s="49"/>
      <c r="K652" s="9"/>
    </row>
    <row r="653" spans="2:11" ht="20.149999999999999" customHeight="1" x14ac:dyDescent="0.35">
      <c r="B653" s="8"/>
      <c r="C653" s="8"/>
      <c r="D653" s="8"/>
      <c r="E653" s="8"/>
      <c r="F653" s="8"/>
      <c r="G653" s="11"/>
      <c r="H653" s="8"/>
      <c r="I653" s="8"/>
      <c r="J653" s="49"/>
      <c r="K653" s="9"/>
    </row>
    <row r="654" spans="2:11" ht="20.149999999999999" customHeight="1" x14ac:dyDescent="0.35">
      <c r="B654" s="8"/>
      <c r="C654" s="8"/>
      <c r="D654" s="8"/>
      <c r="E654" s="8"/>
      <c r="F654" s="8"/>
      <c r="G654" s="11"/>
      <c r="H654" s="8"/>
      <c r="I654" s="8"/>
      <c r="J654" s="49"/>
      <c r="K654" s="9"/>
    </row>
    <row r="655" spans="2:11" ht="20.149999999999999" customHeight="1" x14ac:dyDescent="0.35">
      <c r="B655" s="8"/>
      <c r="C655" s="8"/>
      <c r="D655" s="8"/>
      <c r="E655" s="8"/>
      <c r="F655" s="8"/>
      <c r="G655" s="11"/>
      <c r="H655" s="8"/>
      <c r="I655" s="8"/>
      <c r="J655" s="49"/>
      <c r="K655" s="9"/>
    </row>
    <row r="656" spans="2:11" ht="20.149999999999999" customHeight="1" x14ac:dyDescent="0.35">
      <c r="B656" s="8"/>
      <c r="C656" s="8"/>
      <c r="D656" s="8"/>
      <c r="E656" s="8"/>
      <c r="F656" s="8"/>
      <c r="G656" s="11"/>
      <c r="H656" s="8"/>
      <c r="I656" s="8"/>
      <c r="J656" s="49"/>
      <c r="K656" s="9"/>
    </row>
    <row r="657" spans="2:11" ht="20.149999999999999" customHeight="1" x14ac:dyDescent="0.35">
      <c r="B657" s="8"/>
      <c r="C657" s="8"/>
      <c r="D657" s="8"/>
      <c r="E657" s="8"/>
      <c r="F657" s="8"/>
      <c r="G657" s="11"/>
      <c r="H657" s="8"/>
      <c r="I657" s="8"/>
      <c r="J657" s="49"/>
      <c r="K657" s="9"/>
    </row>
    <row r="658" spans="2:11" ht="20.149999999999999" customHeight="1" x14ac:dyDescent="0.35">
      <c r="B658" s="8"/>
      <c r="C658" s="8"/>
      <c r="D658" s="8"/>
      <c r="E658" s="8"/>
      <c r="F658" s="8"/>
      <c r="G658" s="11"/>
      <c r="H658" s="8"/>
      <c r="I658" s="8"/>
      <c r="J658" s="49"/>
      <c r="K658" s="9"/>
    </row>
    <row r="659" spans="2:11" ht="20.149999999999999" customHeight="1" x14ac:dyDescent="0.35">
      <c r="B659" s="8"/>
      <c r="C659" s="8"/>
      <c r="D659" s="8"/>
      <c r="E659" s="8"/>
      <c r="F659" s="8"/>
      <c r="G659" s="11"/>
      <c r="H659" s="8"/>
      <c r="I659" s="8"/>
      <c r="J659" s="49"/>
      <c r="K659" s="9"/>
    </row>
    <row r="660" spans="2:11" ht="20.149999999999999" customHeight="1" x14ac:dyDescent="0.35">
      <c r="B660" s="8"/>
      <c r="C660" s="8"/>
      <c r="D660" s="8"/>
      <c r="E660" s="8"/>
      <c r="F660" s="8"/>
      <c r="G660" s="11"/>
      <c r="H660" s="8"/>
      <c r="I660" s="8"/>
      <c r="J660" s="49"/>
      <c r="K660" s="9"/>
    </row>
    <row r="661" spans="2:11" ht="20.149999999999999" customHeight="1" x14ac:dyDescent="0.35">
      <c r="B661" s="8"/>
      <c r="C661" s="8"/>
      <c r="D661" s="8"/>
      <c r="E661" s="8"/>
      <c r="F661" s="8"/>
      <c r="G661" s="11"/>
      <c r="H661" s="8"/>
      <c r="I661" s="8"/>
      <c r="J661" s="49"/>
      <c r="K661" s="9"/>
    </row>
    <row r="662" spans="2:11" ht="20.149999999999999" customHeight="1" x14ac:dyDescent="0.35">
      <c r="B662" s="8"/>
      <c r="C662" s="8"/>
      <c r="D662" s="8"/>
      <c r="E662" s="8"/>
      <c r="F662" s="8"/>
      <c r="G662" s="11"/>
      <c r="H662" s="8"/>
      <c r="I662" s="8"/>
      <c r="J662" s="49"/>
      <c r="K662" s="9"/>
    </row>
    <row r="663" spans="2:11" ht="20.149999999999999" customHeight="1" x14ac:dyDescent="0.35">
      <c r="B663" s="8"/>
      <c r="C663" s="8"/>
      <c r="D663" s="8"/>
      <c r="E663" s="8"/>
      <c r="F663" s="8"/>
      <c r="G663" s="11"/>
      <c r="H663" s="8"/>
      <c r="I663" s="8"/>
      <c r="J663" s="49"/>
      <c r="K663" s="9"/>
    </row>
    <row r="664" spans="2:11" ht="20.149999999999999" customHeight="1" x14ac:dyDescent="0.35">
      <c r="B664" s="8"/>
      <c r="C664" s="8"/>
      <c r="D664" s="8"/>
      <c r="E664" s="8"/>
      <c r="F664" s="8"/>
      <c r="G664" s="11"/>
      <c r="H664" s="8"/>
      <c r="I664" s="8"/>
      <c r="J664" s="49"/>
      <c r="K664" s="9"/>
    </row>
    <row r="665" spans="2:11" ht="20.149999999999999" customHeight="1" x14ac:dyDescent="0.35">
      <c r="B665" s="8"/>
      <c r="C665" s="8"/>
      <c r="D665" s="8"/>
      <c r="E665" s="8"/>
      <c r="F665" s="8"/>
      <c r="G665" s="11"/>
      <c r="H665" s="8"/>
      <c r="I665" s="8"/>
      <c r="J665" s="49"/>
      <c r="K665" s="9"/>
    </row>
    <row r="666" spans="2:11" ht="20.149999999999999" customHeight="1" x14ac:dyDescent="0.35">
      <c r="B666" s="8"/>
      <c r="C666" s="8"/>
      <c r="D666" s="8"/>
      <c r="E666" s="8"/>
      <c r="F666" s="8"/>
      <c r="G666" s="11"/>
      <c r="H666" s="8"/>
      <c r="I666" s="8"/>
      <c r="J666" s="49"/>
      <c r="K666" s="9"/>
    </row>
    <row r="667" spans="2:11" ht="20.149999999999999" customHeight="1" x14ac:dyDescent="0.35">
      <c r="B667" s="8"/>
      <c r="C667" s="8"/>
      <c r="D667" s="8"/>
      <c r="E667" s="8"/>
      <c r="F667" s="8"/>
      <c r="G667" s="11"/>
      <c r="H667" s="8"/>
      <c r="I667" s="8"/>
      <c r="J667" s="49"/>
      <c r="K667" s="9"/>
    </row>
    <row r="668" spans="2:11" ht="20.149999999999999" customHeight="1" x14ac:dyDescent="0.35">
      <c r="B668" s="8"/>
      <c r="C668" s="8"/>
      <c r="D668" s="8"/>
      <c r="E668" s="8"/>
      <c r="F668" s="8"/>
      <c r="G668" s="11"/>
      <c r="H668" s="8"/>
      <c r="I668" s="8"/>
      <c r="J668" s="49"/>
      <c r="K668" s="9"/>
    </row>
    <row r="669" spans="2:11" ht="20.149999999999999" customHeight="1" x14ac:dyDescent="0.35">
      <c r="B669" s="8"/>
      <c r="C669" s="8"/>
      <c r="D669" s="8"/>
      <c r="E669" s="8"/>
      <c r="F669" s="8"/>
      <c r="G669" s="11"/>
      <c r="H669" s="8"/>
      <c r="I669" s="8"/>
      <c r="J669" s="49"/>
      <c r="K669" s="9"/>
    </row>
    <row r="670" spans="2:11" ht="20.149999999999999" customHeight="1" x14ac:dyDescent="0.35">
      <c r="B670" s="8"/>
      <c r="C670" s="8"/>
      <c r="D670" s="8"/>
      <c r="E670" s="8"/>
      <c r="F670" s="8"/>
      <c r="G670" s="11"/>
      <c r="H670" s="8"/>
      <c r="I670" s="8"/>
      <c r="J670" s="49"/>
      <c r="K670" s="9"/>
    </row>
    <row r="671" spans="2:11" ht="20.149999999999999" customHeight="1" x14ac:dyDescent="0.35">
      <c r="B671" s="8"/>
      <c r="C671" s="8"/>
      <c r="D671" s="8"/>
      <c r="E671" s="8"/>
      <c r="F671" s="8"/>
      <c r="G671" s="11"/>
      <c r="H671" s="8"/>
      <c r="I671" s="8"/>
      <c r="J671" s="49"/>
      <c r="K671" s="9"/>
    </row>
    <row r="672" spans="2:11" ht="20.149999999999999" customHeight="1" x14ac:dyDescent="0.35">
      <c r="B672" s="8"/>
      <c r="C672" s="8"/>
      <c r="D672" s="8"/>
      <c r="E672" s="8"/>
      <c r="F672" s="8"/>
      <c r="G672" s="11"/>
      <c r="H672" s="8"/>
      <c r="I672" s="8"/>
      <c r="J672" s="49"/>
      <c r="K672" s="9"/>
    </row>
    <row r="673" spans="2:11" ht="20.149999999999999" customHeight="1" x14ac:dyDescent="0.35">
      <c r="B673" s="8"/>
      <c r="C673" s="8"/>
      <c r="D673" s="8"/>
      <c r="E673" s="8"/>
      <c r="F673" s="8"/>
      <c r="G673" s="11"/>
      <c r="H673" s="8"/>
      <c r="I673" s="8"/>
      <c r="J673" s="49"/>
      <c r="K673" s="9"/>
    </row>
    <row r="674" spans="2:11" ht="20.149999999999999" customHeight="1" x14ac:dyDescent="0.35">
      <c r="B674" s="8"/>
      <c r="C674" s="8"/>
      <c r="D674" s="8"/>
      <c r="E674" s="8"/>
      <c r="F674" s="8"/>
      <c r="G674" s="11"/>
      <c r="H674" s="8"/>
      <c r="I674" s="8"/>
      <c r="J674" s="49"/>
      <c r="K674" s="9"/>
    </row>
    <row r="675" spans="2:11" ht="20.149999999999999" customHeight="1" x14ac:dyDescent="0.35">
      <c r="B675" s="8"/>
      <c r="C675" s="8"/>
      <c r="D675" s="8"/>
      <c r="E675" s="8"/>
      <c r="F675" s="8"/>
      <c r="G675" s="11"/>
      <c r="H675" s="8"/>
      <c r="I675" s="8"/>
      <c r="J675" s="49"/>
      <c r="K675" s="9"/>
    </row>
    <row r="676" spans="2:11" ht="20.149999999999999" customHeight="1" x14ac:dyDescent="0.35">
      <c r="B676" s="8"/>
      <c r="C676" s="8"/>
      <c r="D676" s="8"/>
      <c r="E676" s="8"/>
      <c r="F676" s="8"/>
      <c r="G676" s="11"/>
      <c r="H676" s="8"/>
      <c r="I676" s="8"/>
      <c r="J676" s="49"/>
      <c r="K676" s="9"/>
    </row>
    <row r="677" spans="2:11" ht="20.149999999999999" customHeight="1" x14ac:dyDescent="0.35">
      <c r="B677" s="8"/>
      <c r="C677" s="8"/>
      <c r="D677" s="8"/>
      <c r="E677" s="8"/>
      <c r="F677" s="8"/>
      <c r="G677" s="11"/>
      <c r="H677" s="8"/>
      <c r="I677" s="8"/>
      <c r="J677" s="49"/>
      <c r="K677" s="9"/>
    </row>
    <row r="678" spans="2:11" ht="20.149999999999999" customHeight="1" x14ac:dyDescent="0.35">
      <c r="B678" s="8"/>
      <c r="C678" s="8"/>
      <c r="D678" s="8"/>
      <c r="E678" s="8"/>
      <c r="F678" s="8"/>
      <c r="G678" s="11"/>
      <c r="H678" s="8"/>
      <c r="I678" s="8"/>
      <c r="J678" s="49"/>
      <c r="K678" s="9"/>
    </row>
    <row r="679" spans="2:11" ht="20.149999999999999" customHeight="1" x14ac:dyDescent="0.35">
      <c r="B679" s="8"/>
      <c r="C679" s="8"/>
      <c r="D679" s="8"/>
      <c r="E679" s="8"/>
      <c r="F679" s="8"/>
      <c r="G679" s="11"/>
      <c r="H679" s="8"/>
      <c r="I679" s="8"/>
      <c r="J679" s="49"/>
      <c r="K679" s="9"/>
    </row>
    <row r="680" spans="2:11" ht="20.149999999999999" customHeight="1" x14ac:dyDescent="0.35">
      <c r="B680" s="8"/>
      <c r="C680" s="8"/>
      <c r="D680" s="8"/>
      <c r="E680" s="8"/>
      <c r="F680" s="8"/>
      <c r="G680" s="11"/>
      <c r="H680" s="8"/>
      <c r="I680" s="8"/>
      <c r="J680" s="49"/>
      <c r="K680" s="9"/>
    </row>
    <row r="681" spans="2:11" ht="20.149999999999999" customHeight="1" x14ac:dyDescent="0.35">
      <c r="B681" s="8"/>
      <c r="C681" s="8"/>
      <c r="D681" s="8"/>
      <c r="E681" s="8"/>
      <c r="F681" s="8"/>
      <c r="G681" s="11"/>
      <c r="H681" s="8"/>
      <c r="I681" s="8"/>
      <c r="J681" s="49"/>
      <c r="K681" s="9"/>
    </row>
    <row r="682" spans="2:11" ht="20.149999999999999" customHeight="1" x14ac:dyDescent="0.35">
      <c r="B682" s="8"/>
      <c r="C682" s="8"/>
      <c r="D682" s="8"/>
      <c r="E682" s="8"/>
      <c r="F682" s="8"/>
      <c r="G682" s="11"/>
      <c r="H682" s="8"/>
      <c r="I682" s="8"/>
      <c r="J682" s="49"/>
      <c r="K682" s="9"/>
    </row>
    <row r="683" spans="2:11" ht="20.149999999999999" customHeight="1" x14ac:dyDescent="0.35">
      <c r="B683" s="8"/>
      <c r="C683" s="8"/>
      <c r="D683" s="8"/>
      <c r="E683" s="8"/>
      <c r="F683" s="8"/>
      <c r="G683" s="11"/>
      <c r="H683" s="8"/>
      <c r="I683" s="8"/>
      <c r="J683" s="49"/>
      <c r="K683" s="9"/>
    </row>
    <row r="684" spans="2:11" ht="20.149999999999999" customHeight="1" x14ac:dyDescent="0.35">
      <c r="B684" s="8"/>
      <c r="C684" s="8"/>
      <c r="D684" s="8"/>
      <c r="E684" s="8"/>
      <c r="F684" s="8"/>
      <c r="G684" s="11"/>
      <c r="H684" s="8"/>
      <c r="I684" s="8"/>
      <c r="J684" s="49"/>
      <c r="K684" s="9"/>
    </row>
    <row r="685" spans="2:11" ht="20.149999999999999" customHeight="1" x14ac:dyDescent="0.35">
      <c r="B685" s="8"/>
      <c r="C685" s="8"/>
      <c r="D685" s="8"/>
      <c r="E685" s="8"/>
      <c r="F685" s="8"/>
      <c r="G685" s="11"/>
      <c r="H685" s="8"/>
      <c r="I685" s="8"/>
      <c r="J685" s="49"/>
      <c r="K685" s="9"/>
    </row>
    <row r="686" spans="2:11" ht="20.149999999999999" customHeight="1" x14ac:dyDescent="0.35">
      <c r="B686" s="8"/>
      <c r="C686" s="8"/>
      <c r="D686" s="8"/>
      <c r="E686" s="8"/>
      <c r="F686" s="8"/>
      <c r="G686" s="11"/>
      <c r="H686" s="8"/>
      <c r="I686" s="8"/>
      <c r="J686" s="49"/>
      <c r="K686" s="9"/>
    </row>
    <row r="687" spans="2:11" ht="20.149999999999999" customHeight="1" x14ac:dyDescent="0.35">
      <c r="B687" s="8"/>
      <c r="C687" s="8"/>
      <c r="D687" s="8"/>
      <c r="E687" s="8"/>
      <c r="F687" s="8"/>
      <c r="G687" s="11"/>
      <c r="H687" s="8"/>
      <c r="I687" s="8"/>
      <c r="J687" s="49"/>
      <c r="K687" s="9"/>
    </row>
    <row r="688" spans="2:11" ht="20.149999999999999" customHeight="1" x14ac:dyDescent="0.35">
      <c r="B688" s="8"/>
      <c r="C688" s="8"/>
      <c r="D688" s="8"/>
      <c r="E688" s="8"/>
      <c r="F688" s="8"/>
      <c r="G688" s="11"/>
      <c r="H688" s="8"/>
      <c r="I688" s="8"/>
      <c r="J688" s="49"/>
      <c r="K688" s="9"/>
    </row>
    <row r="689" spans="2:11" ht="20.149999999999999" customHeight="1" x14ac:dyDescent="0.35">
      <c r="B689" s="8"/>
      <c r="C689" s="8"/>
      <c r="D689" s="8"/>
      <c r="E689" s="8"/>
      <c r="F689" s="8"/>
      <c r="G689" s="11"/>
      <c r="H689" s="8"/>
      <c r="I689" s="8"/>
      <c r="J689" s="49"/>
      <c r="K689" s="9"/>
    </row>
  </sheetData>
  <autoFilter ref="B8:K409" xr:uid="{00000000-0001-0000-0000-000000000000}"/>
  <mergeCells count="226">
    <mergeCell ref="K177:K182"/>
    <mergeCell ref="K14:K18"/>
    <mergeCell ref="K313:K318"/>
    <mergeCell ref="K107:K113"/>
    <mergeCell ref="K114:K119"/>
    <mergeCell ref="K64:K68"/>
    <mergeCell ref="T2:T6"/>
    <mergeCell ref="U2:W6"/>
    <mergeCell ref="D307:D312"/>
    <mergeCell ref="D313:D318"/>
    <mergeCell ref="D114:D119"/>
    <mergeCell ref="D120:D126"/>
    <mergeCell ref="D127:D132"/>
    <mergeCell ref="D133:D140"/>
    <mergeCell ref="D141:D146"/>
    <mergeCell ref="D147:D152"/>
    <mergeCell ref="D153:D158"/>
    <mergeCell ref="D159:D164"/>
    <mergeCell ref="D165:D170"/>
    <mergeCell ref="D171:D176"/>
    <mergeCell ref="D177:D182"/>
    <mergeCell ref="D183:D188"/>
    <mergeCell ref="D189:D194"/>
    <mergeCell ref="D195:D200"/>
    <mergeCell ref="K189:K194"/>
    <mergeCell ref="C201:C206"/>
    <mergeCell ref="C207:C212"/>
    <mergeCell ref="C289:C294"/>
    <mergeCell ref="C295:C300"/>
    <mergeCell ref="C213:C218"/>
    <mergeCell ref="C219:C224"/>
    <mergeCell ref="C250:C256"/>
    <mergeCell ref="C257:C263"/>
    <mergeCell ref="C264:C270"/>
    <mergeCell ref="C271:C276"/>
    <mergeCell ref="C277:C282"/>
    <mergeCell ref="D277:D282"/>
    <mergeCell ref="D283:D288"/>
    <mergeCell ref="D289:D294"/>
    <mergeCell ref="D295:D300"/>
    <mergeCell ref="C101:C106"/>
    <mergeCell ref="C107:C113"/>
    <mergeCell ref="K24:K28"/>
    <mergeCell ref="K89:K94"/>
    <mergeCell ref="D39:D43"/>
    <mergeCell ref="D44:D48"/>
    <mergeCell ref="D49:D53"/>
    <mergeCell ref="D54:D58"/>
    <mergeCell ref="D59:D63"/>
    <mergeCell ref="D64:D68"/>
    <mergeCell ref="D69:D73"/>
    <mergeCell ref="D74:D78"/>
    <mergeCell ref="D79:D83"/>
    <mergeCell ref="D84:D88"/>
    <mergeCell ref="D89:D94"/>
    <mergeCell ref="D95:D100"/>
    <mergeCell ref="D101:D106"/>
    <mergeCell ref="D107:D113"/>
    <mergeCell ref="K101:K106"/>
    <mergeCell ref="K59:K63"/>
    <mergeCell ref="K84:K88"/>
    <mergeCell ref="C39:C43"/>
    <mergeCell ref="C44:C48"/>
    <mergeCell ref="C49:C53"/>
    <mergeCell ref="B277:B282"/>
    <mergeCell ref="C283:C288"/>
    <mergeCell ref="C225:C230"/>
    <mergeCell ref="C231:C236"/>
    <mergeCell ref="C237:C242"/>
    <mergeCell ref="C243:C249"/>
    <mergeCell ref="C301:C306"/>
    <mergeCell ref="C307:C312"/>
    <mergeCell ref="C313:C318"/>
    <mergeCell ref="B295:B300"/>
    <mergeCell ref="B301:B306"/>
    <mergeCell ref="B289:B294"/>
    <mergeCell ref="C54:C58"/>
    <mergeCell ref="C59:C63"/>
    <mergeCell ref="C64:C68"/>
    <mergeCell ref="B141:B146"/>
    <mergeCell ref="B147:B152"/>
    <mergeCell ref="B153:B158"/>
    <mergeCell ref="B54:B58"/>
    <mergeCell ref="B59:B63"/>
    <mergeCell ref="B64:B68"/>
    <mergeCell ref="B69:B73"/>
    <mergeCell ref="B74:B78"/>
    <mergeCell ref="B79:B83"/>
    <mergeCell ref="C69:C73"/>
    <mergeCell ref="C74:C78"/>
    <mergeCell ref="C79:C83"/>
    <mergeCell ref="C84:C88"/>
    <mergeCell ref="C89:C94"/>
    <mergeCell ref="C95:C100"/>
    <mergeCell ref="C141:C146"/>
    <mergeCell ref="C147:C152"/>
    <mergeCell ref="C153:C158"/>
    <mergeCell ref="C114:C119"/>
    <mergeCell ref="C120:C126"/>
    <mergeCell ref="C127:C132"/>
    <mergeCell ref="C9:C13"/>
    <mergeCell ref="C14:C18"/>
    <mergeCell ref="C19:C23"/>
    <mergeCell ref="C24:C28"/>
    <mergeCell ref="C29:C33"/>
    <mergeCell ref="C34:C38"/>
    <mergeCell ref="D9:D13"/>
    <mergeCell ref="D14:D18"/>
    <mergeCell ref="D19:D23"/>
    <mergeCell ref="D24:D28"/>
    <mergeCell ref="D29:D33"/>
    <mergeCell ref="D34:D38"/>
    <mergeCell ref="C133:C140"/>
    <mergeCell ref="B250:B256"/>
    <mergeCell ref="B257:B263"/>
    <mergeCell ref="B264:B270"/>
    <mergeCell ref="B271:B276"/>
    <mergeCell ref="D207:D212"/>
    <mergeCell ref="D213:D218"/>
    <mergeCell ref="D219:D224"/>
    <mergeCell ref="D225:D230"/>
    <mergeCell ref="D231:D236"/>
    <mergeCell ref="D237:D242"/>
    <mergeCell ref="D243:D249"/>
    <mergeCell ref="D250:D256"/>
    <mergeCell ref="D257:D263"/>
    <mergeCell ref="C159:C164"/>
    <mergeCell ref="C165:C170"/>
    <mergeCell ref="C171:C176"/>
    <mergeCell ref="C177:C182"/>
    <mergeCell ref="C183:C188"/>
    <mergeCell ref="C189:C194"/>
    <mergeCell ref="C195:C200"/>
    <mergeCell ref="D271:D276"/>
    <mergeCell ref="D264:D270"/>
    <mergeCell ref="D201:D206"/>
    <mergeCell ref="B9:B13"/>
    <mergeCell ref="B14:B18"/>
    <mergeCell ref="B19:B23"/>
    <mergeCell ref="B24:B28"/>
    <mergeCell ref="B29:B33"/>
    <mergeCell ref="B34:B38"/>
    <mergeCell ref="B39:B43"/>
    <mergeCell ref="B44:B48"/>
    <mergeCell ref="B49:B53"/>
    <mergeCell ref="K2:K6"/>
    <mergeCell ref="B2:D3"/>
    <mergeCell ref="C4:D6"/>
    <mergeCell ref="B4:B6"/>
    <mergeCell ref="E2:H3"/>
    <mergeCell ref="E4:E6"/>
    <mergeCell ref="F4:G6"/>
    <mergeCell ref="H4:H6"/>
    <mergeCell ref="B213:B218"/>
    <mergeCell ref="B159:B164"/>
    <mergeCell ref="B165:B170"/>
    <mergeCell ref="B171:B176"/>
    <mergeCell ref="B177:B182"/>
    <mergeCell ref="B183:B188"/>
    <mergeCell ref="B189:B194"/>
    <mergeCell ref="B195:B200"/>
    <mergeCell ref="B201:B206"/>
    <mergeCell ref="B207:B212"/>
    <mergeCell ref="B101:B106"/>
    <mergeCell ref="B107:B113"/>
    <mergeCell ref="B114:B119"/>
    <mergeCell ref="B120:B126"/>
    <mergeCell ref="B127:B132"/>
    <mergeCell ref="B133:B140"/>
    <mergeCell ref="B401:B406"/>
    <mergeCell ref="C401:C406"/>
    <mergeCell ref="D401:D406"/>
    <mergeCell ref="B373:B378"/>
    <mergeCell ref="C373:C378"/>
    <mergeCell ref="D373:D378"/>
    <mergeCell ref="C379:C386"/>
    <mergeCell ref="D379:D386"/>
    <mergeCell ref="B387:B394"/>
    <mergeCell ref="C387:C394"/>
    <mergeCell ref="D387:D394"/>
    <mergeCell ref="B379:B386"/>
    <mergeCell ref="B395:B400"/>
    <mergeCell ref="C395:C400"/>
    <mergeCell ref="D395:D400"/>
    <mergeCell ref="B337:B342"/>
    <mergeCell ref="B343:B348"/>
    <mergeCell ref="C343:C348"/>
    <mergeCell ref="D349:D354"/>
    <mergeCell ref="D319:D324"/>
    <mergeCell ref="C337:C342"/>
    <mergeCell ref="B331:B336"/>
    <mergeCell ref="B361:B366"/>
    <mergeCell ref="B349:B354"/>
    <mergeCell ref="C349:C354"/>
    <mergeCell ref="D325:D330"/>
    <mergeCell ref="D331:D336"/>
    <mergeCell ref="D337:D342"/>
    <mergeCell ref="B355:B360"/>
    <mergeCell ref="C355:C360"/>
    <mergeCell ref="D355:D360"/>
    <mergeCell ref="B319:B324"/>
    <mergeCell ref="C325:C330"/>
    <mergeCell ref="C331:C336"/>
    <mergeCell ref="K319:K324"/>
    <mergeCell ref="D301:D306"/>
    <mergeCell ref="B307:B312"/>
    <mergeCell ref="B313:B318"/>
    <mergeCell ref="K79:K83"/>
    <mergeCell ref="AC25:AD25"/>
    <mergeCell ref="B367:B372"/>
    <mergeCell ref="C367:C372"/>
    <mergeCell ref="D367:D372"/>
    <mergeCell ref="C361:C366"/>
    <mergeCell ref="D361:D366"/>
    <mergeCell ref="B325:B330"/>
    <mergeCell ref="D343:D348"/>
    <mergeCell ref="C319:C324"/>
    <mergeCell ref="B84:B88"/>
    <mergeCell ref="B89:B94"/>
    <mergeCell ref="B95:B100"/>
    <mergeCell ref="B219:B224"/>
    <mergeCell ref="B225:B230"/>
    <mergeCell ref="B231:B236"/>
    <mergeCell ref="B237:B242"/>
    <mergeCell ref="B243:B249"/>
    <mergeCell ref="B283:B288"/>
  </mergeCells>
  <phoneticPr fontId="2" type="noConversion"/>
  <conditionalFormatting sqref="F7:F406 F410:F1048576">
    <cfRule type="containsText" dxfId="3" priority="2" operator="containsText" text="No Need">
      <formula>NOT(ISERROR(SEARCH("No Need",F7)))</formula>
    </cfRule>
    <cfRule type="containsText" dxfId="2" priority="4" operator="containsText" text="Done">
      <formula>NOT(ISERROR(SEARCH("Done",F7)))</formula>
    </cfRule>
    <cfRule type="containsText" dxfId="1" priority="5" operator="containsText" text="Process">
      <formula>NOT(ISERROR(SEARCH("Process",F7)))</formula>
    </cfRule>
    <cfRule type="containsText" dxfId="0" priority="6" operator="containsText" text="No">
      <formula>NOT(ISERROR(SEARCH("No",F7)))</formula>
    </cfRule>
  </conditionalFormatting>
  <dataValidations count="2">
    <dataValidation type="list" allowBlank="1" showInputMessage="1" showErrorMessage="1" sqref="F7:F8 F410:F1048576" xr:uid="{4A5273A3-6589-4683-88CC-9C97744168AD}">
      <formula1>"Not Installed, In Process, Done, Failed"</formula1>
    </dataValidation>
    <dataValidation type="list" allowBlank="1" showInputMessage="1" showErrorMessage="1" sqref="F9:F406" xr:uid="{51BF8405-1ABD-42A0-AF24-AEC2B2C47709}">
      <formula1>"Not Installed, In Process, Done, No Need"</formula1>
    </dataValidation>
  </dataValidations>
  <hyperlinks>
    <hyperlink ref="K24" r:id="rId1" xr:uid="{A9C8A620-0A8C-4C94-B3E4-E34EB68E3106}"/>
  </hyperlinks>
  <pageMargins left="0.7" right="0.7" top="0.75" bottom="0.75" header="0.3" footer="0.3"/>
  <pageSetup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W155"/>
  <sheetViews>
    <sheetView topLeftCell="F10" workbookViewId="0">
      <selection activeCell="F16" sqref="F16"/>
    </sheetView>
  </sheetViews>
  <sheetFormatPr defaultRowHeight="25" customHeight="1" x14ac:dyDescent="0.35"/>
  <cols>
    <col min="1" max="1" width="28.08984375" style="8" customWidth="1"/>
    <col min="2" max="4" width="20.7265625" style="8" customWidth="1"/>
    <col min="5" max="5" width="20.08984375" style="8" customWidth="1"/>
    <col min="6" max="6" width="17.90625" style="8" customWidth="1"/>
    <col min="7" max="7" width="14.54296875" style="8" customWidth="1"/>
    <col min="8" max="8" width="13.36328125" style="8" bestFit="1" customWidth="1"/>
    <col min="9" max="9" width="8.7265625" style="8"/>
    <col min="10" max="10" width="10.7265625" style="8" bestFit="1" customWidth="1"/>
    <col min="11" max="13" width="8.7265625" style="8"/>
    <col min="14" max="14" width="8.7265625" style="8" customWidth="1"/>
    <col min="15" max="16" width="8.7265625" style="8"/>
    <col min="17" max="17" width="10.26953125" style="8" customWidth="1"/>
    <col min="18" max="18" width="8.7265625" style="8"/>
    <col min="19" max="19" width="14.81640625" style="8" customWidth="1"/>
    <col min="20" max="16384" width="8.7265625" style="8"/>
  </cols>
  <sheetData>
    <row r="2" spans="1:23" s="19" customFormat="1" ht="25" customHeight="1" x14ac:dyDescent="0.35">
      <c r="A2" s="20" t="s">
        <v>101</v>
      </c>
      <c r="B2" s="23" t="s">
        <v>102</v>
      </c>
      <c r="C2" s="23" t="s">
        <v>111</v>
      </c>
      <c r="D2" s="23" t="s">
        <v>115</v>
      </c>
      <c r="E2" s="23" t="s">
        <v>112</v>
      </c>
      <c r="G2" s="20" t="s">
        <v>116</v>
      </c>
      <c r="I2" s="19" t="s">
        <v>214</v>
      </c>
      <c r="J2" s="118">
        <f>R13</f>
        <v>0.44853156439551939</v>
      </c>
      <c r="N2" s="109" t="s">
        <v>195</v>
      </c>
      <c r="O2" s="114" t="s">
        <v>202</v>
      </c>
      <c r="R2" s="19" t="s">
        <v>206</v>
      </c>
      <c r="T2" s="19" t="s">
        <v>208</v>
      </c>
      <c r="U2" s="19" t="s">
        <v>209</v>
      </c>
      <c r="V2" s="19" t="s">
        <v>210</v>
      </c>
      <c r="W2" s="19" t="s">
        <v>115</v>
      </c>
    </row>
    <row r="3" spans="1:23" ht="25" customHeight="1" x14ac:dyDescent="0.35">
      <c r="A3" s="21" t="s">
        <v>13</v>
      </c>
      <c r="B3" s="21">
        <f>COUNTIFS(Tracker!E:E,A3,Tracker!F:F,"Done")</f>
        <v>38</v>
      </c>
      <c r="C3" s="21">
        <f>COUNTIFS(Tracker!E:E,A3,Tracker!F:F,"In Process")</f>
        <v>1</v>
      </c>
      <c r="D3" s="21">
        <f>COUNTIF(Tracker!E:E,A3)-COUNTIFS(Tracker!E:E,A3,Tracker!F:F,"No need")</f>
        <v>62</v>
      </c>
      <c r="E3" s="24">
        <f>(B3+C3)/D3</f>
        <v>0.62903225806451613</v>
      </c>
      <c r="G3" s="28" t="b">
        <v>1</v>
      </c>
      <c r="I3" s="19" t="s">
        <v>215</v>
      </c>
      <c r="J3" s="118">
        <f>Tracker!A410</f>
        <v>0.59701492537313428</v>
      </c>
      <c r="M3" s="19"/>
      <c r="N3" s="110">
        <f>B3*(Tracker!AC3+Tracker!AD3)</f>
        <v>577600</v>
      </c>
      <c r="O3" s="115">
        <f>B3*(Tracker!AE3)</f>
        <v>2432</v>
      </c>
      <c r="Q3" s="110" t="str">
        <f>A3</f>
        <v>MGPS</v>
      </c>
      <c r="R3" s="116">
        <f>E3</f>
        <v>0.62903225806451613</v>
      </c>
      <c r="S3" s="8" t="s">
        <v>212</v>
      </c>
      <c r="T3" s="8">
        <f>SUM(B3:B12)</f>
        <v>150</v>
      </c>
      <c r="U3" s="8">
        <f>SUM(C3:C12)</f>
        <v>19</v>
      </c>
      <c r="V3" s="8">
        <f>W4-T3-U3</f>
        <v>201</v>
      </c>
      <c r="W3" s="8">
        <v>0</v>
      </c>
    </row>
    <row r="4" spans="1:23" ht="25" customHeight="1" x14ac:dyDescent="0.35">
      <c r="A4" s="22" t="s">
        <v>96</v>
      </c>
      <c r="B4" s="22">
        <f>COUNTIFS(Tracker!E:E,A4,Tracker!F:F,"Done")</f>
        <v>0</v>
      </c>
      <c r="C4" s="22">
        <f>COUNTIFS(Tracker!E:E,A4,Tracker!F:F,"In Process")</f>
        <v>1</v>
      </c>
      <c r="D4" s="22">
        <f>COUNTIF(Tracker!E:E,A4)-COUNTIFS(Tracker!E:E,A4,Tracker!F:F,"No need")</f>
        <v>2</v>
      </c>
      <c r="E4" s="25">
        <f t="shared" ref="E4:E12" si="0">(B4+C4)/D4</f>
        <v>0.5</v>
      </c>
      <c r="G4" s="28" t="b">
        <v>1</v>
      </c>
      <c r="I4" s="19" t="s">
        <v>216</v>
      </c>
      <c r="J4" s="119">
        <f>1-(180000*66-C16)/(180000*66)</f>
        <v>9.3727643699006102E-2</v>
      </c>
      <c r="N4" s="110">
        <f>B4*(Tracker!AC4+Tracker!AD4)</f>
        <v>0</v>
      </c>
      <c r="O4" s="115">
        <f>B4*(Tracker!AE4)</f>
        <v>0</v>
      </c>
      <c r="Q4" s="110" t="str">
        <f t="shared" ref="Q4:Q12" si="1">A4</f>
        <v>Chlorinator</v>
      </c>
      <c r="R4" s="116">
        <v>0.03</v>
      </c>
      <c r="S4" s="19" t="s">
        <v>115</v>
      </c>
      <c r="T4" s="8">
        <v>0</v>
      </c>
      <c r="U4" s="8">
        <v>0</v>
      </c>
      <c r="V4" s="8">
        <v>0</v>
      </c>
      <c r="W4" s="8">
        <f>SUM(D3:D12)</f>
        <v>370</v>
      </c>
    </row>
    <row r="5" spans="1:23" ht="25" customHeight="1" x14ac:dyDescent="0.35">
      <c r="A5" s="22" t="s">
        <v>114</v>
      </c>
      <c r="B5" s="22">
        <f>COUNTIFS(Tracker!E:E,A5,Tracker!F:F,"Done")</f>
        <v>9</v>
      </c>
      <c r="C5" s="22">
        <f>COUNTIFS(Tracker!E:E,A5,Tracker!F:F,"In Process")</f>
        <v>0</v>
      </c>
      <c r="D5" s="22">
        <f>COUNTIF(Tracker!E:E,A5)-COUNTIFS(Tracker!E:E,A5,Tracker!F:F,"No need")</f>
        <v>40</v>
      </c>
      <c r="E5" s="25">
        <f>(B5+C5)/D5</f>
        <v>0.22500000000000001</v>
      </c>
      <c r="G5" s="28" t="b">
        <v>0</v>
      </c>
      <c r="N5" s="110">
        <f>B5*(Tracker!AC5+Tracker!AD5)</f>
        <v>900</v>
      </c>
      <c r="O5" s="115">
        <f>B5*(Tracker!AE5)</f>
        <v>0</v>
      </c>
      <c r="Q5" s="110" t="str">
        <f t="shared" si="1"/>
        <v>CMCE LP</v>
      </c>
      <c r="R5" s="116">
        <f t="shared" ref="R5:R11" si="2">E5</f>
        <v>0.22500000000000001</v>
      </c>
      <c r="S5" s="8" t="s">
        <v>211</v>
      </c>
      <c r="T5" s="8">
        <v>250</v>
      </c>
      <c r="U5" s="8">
        <v>75</v>
      </c>
      <c r="V5" s="8">
        <v>50</v>
      </c>
      <c r="W5" s="8">
        <v>0</v>
      </c>
    </row>
    <row r="6" spans="1:23" ht="25" customHeight="1" x14ac:dyDescent="0.35">
      <c r="A6" s="22" t="s">
        <v>14</v>
      </c>
      <c r="B6" s="22">
        <f>COUNTIFS(Tracker!E:E,A6,Tracker!F:F,"Done")</f>
        <v>15</v>
      </c>
      <c r="C6" s="22">
        <f>COUNTIFS(Tracker!E:E,A6,Tracker!F:F,"In Process")</f>
        <v>16</v>
      </c>
      <c r="D6" s="22">
        <f>COUNTIF(Tracker!E:E,A6)-COUNTIFS(Tracker!E:E,A6,Tracker!F:F,"No need")</f>
        <v>61</v>
      </c>
      <c r="E6" s="25">
        <f t="shared" si="0"/>
        <v>0.50819672131147542</v>
      </c>
      <c r="G6" s="28" t="b">
        <v>1</v>
      </c>
      <c r="N6" s="110">
        <f>B6*(Tracker!AC6+Tracker!AD6)</f>
        <v>85500</v>
      </c>
      <c r="O6" s="115">
        <f>B6*(Tracker!AE6)</f>
        <v>165</v>
      </c>
      <c r="Q6" s="110" t="str">
        <f t="shared" si="1"/>
        <v>IWTM Filter</v>
      </c>
      <c r="R6" s="116">
        <f t="shared" si="2"/>
        <v>0.50819672131147542</v>
      </c>
    </row>
    <row r="7" spans="1:23" ht="25" customHeight="1" x14ac:dyDescent="0.35">
      <c r="A7" s="22" t="s">
        <v>110</v>
      </c>
      <c r="B7" s="22">
        <f>COUNTIFS(Tracker!E:E,A7,Tracker!F:F,"Done")</f>
        <v>17</v>
      </c>
      <c r="C7" s="22">
        <f>COUNTIFS(Tracker!E:E,A7,Tracker!F:F,"In Process")</f>
        <v>0</v>
      </c>
      <c r="D7" s="22">
        <f>COUNTIF(Tracker!E:E,A7)-COUNTIFS(Tracker!E:E,A7,Tracker!F:F,"No need")</f>
        <v>66</v>
      </c>
      <c r="E7" s="25">
        <f t="shared" si="0"/>
        <v>0.25757575757575757</v>
      </c>
      <c r="G7" s="28" t="b">
        <v>0</v>
      </c>
      <c r="N7" s="110">
        <f>B7*(Tracker!AC7+Tracker!AD7)</f>
        <v>158100</v>
      </c>
      <c r="O7" s="115">
        <f>B7*(Tracker!AE7)</f>
        <v>765</v>
      </c>
      <c r="Q7" s="110" t="str">
        <f t="shared" si="1"/>
        <v>LED lights</v>
      </c>
      <c r="R7" s="116">
        <f t="shared" si="2"/>
        <v>0.25757575757575757</v>
      </c>
    </row>
    <row r="8" spans="1:23" ht="25" customHeight="1" x14ac:dyDescent="0.35">
      <c r="A8" s="22" t="s">
        <v>113</v>
      </c>
      <c r="B8" s="22">
        <f>COUNTIFS(Tracker!E:E,A8,Tracker!F:F,"Done")</f>
        <v>11</v>
      </c>
      <c r="C8" s="22">
        <f>COUNTIFS(Tracker!E:E,A8,Tracker!F:F,"In Process")</f>
        <v>1</v>
      </c>
      <c r="D8" s="22">
        <f>COUNTIF(Tracker!E:E,A8)-COUNTIFS(Tracker!E:E,A8,Tracker!F:F,"No need")</f>
        <v>65</v>
      </c>
      <c r="E8" s="25">
        <f t="shared" si="0"/>
        <v>0.18461538461538463</v>
      </c>
      <c r="G8" s="28" t="b">
        <v>0</v>
      </c>
      <c r="N8" s="110">
        <f>B8*(Tracker!AC8+Tracker!AD8)</f>
        <v>177100</v>
      </c>
      <c r="O8" s="115">
        <f>B8*(Tracker!AE8)</f>
        <v>935</v>
      </c>
      <c r="Q8" s="110" t="str">
        <f t="shared" si="1"/>
        <v>EFMS</v>
      </c>
      <c r="R8" s="116">
        <f t="shared" si="2"/>
        <v>0.18461538461538463</v>
      </c>
    </row>
    <row r="9" spans="1:23" ht="25" customHeight="1" x14ac:dyDescent="0.35">
      <c r="A9" s="22" t="s">
        <v>107</v>
      </c>
      <c r="B9" s="22">
        <f>COUNTIFS(Tracker!E:E,A9,Tracker!F:F,"Done")</f>
        <v>4</v>
      </c>
      <c r="C9" s="22">
        <f>COUNTIFS(Tracker!E:E,A9,Tracker!F:F,"In Process")</f>
        <v>0</v>
      </c>
      <c r="D9" s="22">
        <f>COUNTIF(Tracker!E:E,A9)-COUNTIFS(Tracker!E:E,A9,Tracker!F:F,"No need")</f>
        <v>5</v>
      </c>
      <c r="E9" s="25">
        <f t="shared" si="0"/>
        <v>0.8</v>
      </c>
      <c r="G9" s="28" t="b">
        <v>1</v>
      </c>
      <c r="N9" s="110">
        <f>B9*(Tracker!AC10+Tracker!AD10)</f>
        <v>20000</v>
      </c>
      <c r="O9" s="115">
        <f>B9*(Tracker!AE10)</f>
        <v>0</v>
      </c>
      <c r="Q9" s="110" t="str">
        <f t="shared" si="1"/>
        <v>AI CCTV</v>
      </c>
      <c r="R9" s="116">
        <f t="shared" si="2"/>
        <v>0.8</v>
      </c>
    </row>
    <row r="10" spans="1:23" ht="25" customHeight="1" x14ac:dyDescent="0.35">
      <c r="A10" s="111" t="s">
        <v>135</v>
      </c>
      <c r="B10" s="22">
        <v>55</v>
      </c>
      <c r="C10" s="22">
        <f>COUNTIFS(Tracker!E:E,A10,Tracker!F:F,"In Process")</f>
        <v>0</v>
      </c>
      <c r="D10" s="22">
        <v>67</v>
      </c>
      <c r="E10" s="25">
        <f t="shared" si="0"/>
        <v>0.82089552238805974</v>
      </c>
      <c r="G10" s="28" t="b">
        <v>1</v>
      </c>
      <c r="N10" s="110">
        <f>B10*(Tracker!AC11+Tracker!AD11)</f>
        <v>110000</v>
      </c>
      <c r="O10" s="115">
        <f>B10*(Tracker!AE11)</f>
        <v>0</v>
      </c>
      <c r="Q10" s="110" t="str">
        <f t="shared" si="1"/>
        <v>Nautilus Log</v>
      </c>
      <c r="R10" s="116">
        <f t="shared" si="2"/>
        <v>0.82089552238805974</v>
      </c>
    </row>
    <row r="11" spans="1:23" ht="25" customHeight="1" x14ac:dyDescent="0.35">
      <c r="A11" s="111" t="s">
        <v>203</v>
      </c>
      <c r="B11" s="111">
        <v>1</v>
      </c>
      <c r="C11" s="8">
        <v>0</v>
      </c>
      <c r="D11" s="22">
        <v>1</v>
      </c>
      <c r="E11" s="25">
        <f t="shared" si="0"/>
        <v>1</v>
      </c>
      <c r="G11" s="28" t="b">
        <v>1</v>
      </c>
      <c r="N11" s="110">
        <f>B11*(Tracker!AC12+Tracker!AD12)</f>
        <v>0</v>
      </c>
      <c r="O11" s="115">
        <f>B11*(Tracker!AE12)</f>
        <v>0</v>
      </c>
      <c r="Q11" s="110" t="str">
        <f t="shared" si="1"/>
        <v>RE Conversion</v>
      </c>
      <c r="R11" s="116">
        <f t="shared" si="2"/>
        <v>1</v>
      </c>
    </row>
    <row r="12" spans="1:23" ht="25" customHeight="1" x14ac:dyDescent="0.35">
      <c r="A12" s="94" t="s">
        <v>198</v>
      </c>
      <c r="B12" s="94">
        <f>COUNTIFS(Tracker!E:E,A12,Tracker!F:F,"Done")</f>
        <v>0</v>
      </c>
      <c r="C12" s="101">
        <f>COUNTIFS(Tracker!E:E,A12,Tracker!F:F,"In Process")</f>
        <v>0</v>
      </c>
      <c r="D12" s="94">
        <f>COUNTIF(Tracker!E:E,A12)-COUNTIFS(Tracker!E:E,A12,Tracker!F:F,"No need")</f>
        <v>1</v>
      </c>
      <c r="E12" s="112">
        <f t="shared" si="0"/>
        <v>0</v>
      </c>
      <c r="G12" s="29" t="b">
        <v>1</v>
      </c>
      <c r="N12" s="110">
        <f>B12*(Tracker!AC12+Tracker!AD12)</f>
        <v>0</v>
      </c>
      <c r="O12" s="115">
        <f>B12*(Tracker!AE12)</f>
        <v>0</v>
      </c>
      <c r="Q12" s="110" t="str">
        <f t="shared" si="1"/>
        <v>IOW Separator</v>
      </c>
      <c r="R12" s="116">
        <v>0.03</v>
      </c>
    </row>
    <row r="13" spans="1:23" ht="25" customHeight="1" x14ac:dyDescent="0.35">
      <c r="Q13" s="110" t="s">
        <v>207</v>
      </c>
      <c r="R13" s="117">
        <f>AVERAGE(R3:R12)</f>
        <v>0.44853156439551939</v>
      </c>
    </row>
    <row r="14" spans="1:23" ht="25" customHeight="1" thickBot="1" x14ac:dyDescent="0.4"/>
    <row r="15" spans="1:23" ht="26" customHeight="1" thickBot="1" x14ac:dyDescent="0.4">
      <c r="B15" s="171" t="e" vm="1">
        <v>#VALUE!</v>
      </c>
      <c r="C15" s="172"/>
      <c r="D15" s="173" t="s">
        <v>204</v>
      </c>
      <c r="E15" s="176" t="str">
        <f>INDEX(A21:A87, MATCH(G16, B21:B87, 0))</f>
        <v>BOS Defiance</v>
      </c>
    </row>
    <row r="16" spans="1:23" ht="31" customHeight="1" x14ac:dyDescent="0.35">
      <c r="B16" s="96" t="s">
        <v>126</v>
      </c>
      <c r="C16" s="97">
        <f>SUM(Tracker!H9:H406)+SUM(Tracker!I9:I406)+B10*Tracker!AD23</f>
        <v>1113484.4071441928</v>
      </c>
      <c r="D16" s="174"/>
      <c r="E16" s="177"/>
      <c r="G16" s="89">
        <f>MAX(B21:B87)</f>
        <v>58744.230409575459</v>
      </c>
    </row>
    <row r="17" spans="1:19" ht="32.5" customHeight="1" x14ac:dyDescent="0.35">
      <c r="B17" s="87" t="s">
        <v>134</v>
      </c>
      <c r="C17" s="95">
        <f>SUM(Tracker!J9:J406)</f>
        <v>4221.359584813913</v>
      </c>
      <c r="D17" s="174" t="s">
        <v>205</v>
      </c>
      <c r="E17" s="177" t="s">
        <v>73</v>
      </c>
    </row>
    <row r="18" spans="1:19" ht="32.5" customHeight="1" thickBot="1" x14ac:dyDescent="0.4">
      <c r="B18" s="88" t="s">
        <v>171</v>
      </c>
      <c r="C18" s="98">
        <v>10</v>
      </c>
      <c r="D18" s="175"/>
      <c r="E18" s="178"/>
    </row>
    <row r="20" spans="1:19" ht="64" customHeight="1" x14ac:dyDescent="0.35">
      <c r="A20" s="74" t="s">
        <v>127</v>
      </c>
      <c r="B20" s="77">
        <f>SUM(B21:B48)</f>
        <v>460165.30764914909</v>
      </c>
      <c r="C20" s="75" t="s">
        <v>128</v>
      </c>
      <c r="D20" s="78">
        <f>SUM(D21:D48)</f>
        <v>241148.65812605203</v>
      </c>
      <c r="E20" s="76" t="s">
        <v>129</v>
      </c>
      <c r="F20" s="79">
        <f>SUM(F21:F48)</f>
        <v>302170.44136899197</v>
      </c>
    </row>
    <row r="21" spans="1:19" ht="25" customHeight="1" x14ac:dyDescent="0.35">
      <c r="A21" s="68" t="s">
        <v>11</v>
      </c>
      <c r="B21" s="80">
        <f>SUMIF(Tracker!$U$9:$U$406, A21, Tracker!$H$9:$H$406)+SUMIF(Tracker!$U$9:$U$406, A21, Tracker!$I$9:$I$406)</f>
        <v>0</v>
      </c>
      <c r="C21" s="70" t="s">
        <v>97</v>
      </c>
      <c r="D21" s="81">
        <f>SUMIF(Tracker!$U$9:$U$406, C21, Tracker!$H$9:$H$406)+SUMIF(Tracker!$U$9:$U$406, C21, Tracker!$I$9:$I$406)</f>
        <v>10628.819899008789</v>
      </c>
      <c r="E21" s="72" t="s">
        <v>44</v>
      </c>
      <c r="F21" s="84">
        <f>SUMIF(Tracker!$U$9:$U$406, E21, Tracker!$H$9:$H$406)+SUMIF(Tracker!$U$9:$U$406, E21, Tracker!$I$9:$I$406)</f>
        <v>0</v>
      </c>
    </row>
    <row r="22" spans="1:19" ht="25" customHeight="1" x14ac:dyDescent="0.35">
      <c r="A22" s="68" t="s">
        <v>15</v>
      </c>
      <c r="B22" s="80">
        <f>SUMIF(Tracker!$U$9:$U$406, A22, Tracker!$H$9:$H$406)+SUMIF(Tracker!$U$9:$U$406, A22, Tracker!$I$9:$I$406)</f>
        <v>7817.4677389190201</v>
      </c>
      <c r="C22" s="70" t="s">
        <v>42</v>
      </c>
      <c r="D22" s="82">
        <f>SUMIF(Tracker!$U$9:$U$406, C22, Tracker!$H$9:$H$406)+SUMIF(Tracker!$U$9:$U$406, C22, Tracker!$I$9:$I$406)</f>
        <v>24600</v>
      </c>
      <c r="E22" s="72" t="s">
        <v>56</v>
      </c>
      <c r="F22" s="85">
        <f>SUMIF(Tracker!$U$9:$U$406, E22, Tracker!$H$9:$H$406)+SUMIF(Tracker!$U$9:$U$406, E22, Tracker!$I$9:$I$406)</f>
        <v>18025.621844024685</v>
      </c>
      <c r="Q22" s="8" t="s">
        <v>201</v>
      </c>
      <c r="R22" s="8" t="s">
        <v>199</v>
      </c>
      <c r="S22" s="8" t="s">
        <v>200</v>
      </c>
    </row>
    <row r="23" spans="1:19" ht="25" customHeight="1" x14ac:dyDescent="0.35">
      <c r="A23" s="68" t="s">
        <v>16</v>
      </c>
      <c r="B23" s="80">
        <f>SUMIF(Tracker!$U$9:$U$406, A23, Tracker!$H$9:$H$406)+SUMIF(Tracker!$U$9:$U$406, A23, Tracker!$I$9:$I$406)</f>
        <v>39260</v>
      </c>
      <c r="C23" s="70" t="s">
        <v>43</v>
      </c>
      <c r="D23" s="82">
        <f>SUMIF(Tracker!$U$9:$U$406, C23, Tracker!$H$9:$H$406)+SUMIF(Tracker!$U$9:$U$406, C23, Tracker!$I$9:$I$406)</f>
        <v>98.087712736113701</v>
      </c>
      <c r="E23" s="72" t="s">
        <v>54</v>
      </c>
      <c r="F23" s="85">
        <f>SUMIF(Tracker!$U$9:$U$406, E23, Tracker!$H$9:$H$406)+SUMIF(Tracker!$U$9:$U$406, E23, Tracker!$I$9:$I$406)</f>
        <v>0</v>
      </c>
      <c r="Q23" s="8" t="s">
        <v>129</v>
      </c>
      <c r="R23" s="93">
        <f>F20</f>
        <v>302170.44136899197</v>
      </c>
      <c r="S23" s="113">
        <f>R23/23</f>
        <v>13137.845276912694</v>
      </c>
    </row>
    <row r="24" spans="1:19" ht="25" customHeight="1" x14ac:dyDescent="0.35">
      <c r="A24" s="68" t="s">
        <v>18</v>
      </c>
      <c r="B24" s="80">
        <f>SUMIF(Tracker!$U$9:$U$406, A24, Tracker!$H$9:$H$406)+SUMIF(Tracker!$U$9:$U$406, A24, Tracker!$I$9:$I$406)</f>
        <v>27170</v>
      </c>
      <c r="C24" s="70" t="s">
        <v>94</v>
      </c>
      <c r="D24" s="82">
        <f>SUMIF(Tracker!$U$9:$U$406, C24, Tracker!$H$9:$H$406)+SUMIF(Tracker!$U$9:$U$406, C24, Tracker!$I$9:$I$406)</f>
        <v>58744.230409575459</v>
      </c>
      <c r="E24" s="72" t="s">
        <v>58</v>
      </c>
      <c r="F24" s="85">
        <f>SUMIF(Tracker!$U$9:$U$406, E24, Tracker!$H$9:$H$406)+SUMIF(Tracker!$U$9:$U$406, E24, Tracker!$I$9:$I$406)</f>
        <v>19407.840845333834</v>
      </c>
      <c r="Q24" s="8" t="s">
        <v>128</v>
      </c>
      <c r="R24" s="93">
        <f>D20</f>
        <v>241148.65812605203</v>
      </c>
      <c r="S24" s="113">
        <f>R24/16</f>
        <v>15071.791132878252</v>
      </c>
    </row>
    <row r="25" spans="1:19" ht="25" customHeight="1" x14ac:dyDescent="0.35">
      <c r="A25" s="68" t="s">
        <v>19</v>
      </c>
      <c r="B25" s="80">
        <f>SUMIF(Tracker!$U$9:$U$406, A25, Tracker!$H$9:$H$406)+SUMIF(Tracker!$U$9:$U$406, A25, Tracker!$I$9:$I$406)</f>
        <v>27170</v>
      </c>
      <c r="C25" s="70" t="s">
        <v>88</v>
      </c>
      <c r="D25" s="82">
        <f>SUMIF(Tracker!$U$9:$U$406, C25, Tracker!$H$9:$H$406)+SUMIF(Tracker!$U$9:$U$406, C25, Tracker!$I$9:$I$406)</f>
        <v>128.57677202169441</v>
      </c>
      <c r="E25" s="72" t="s">
        <v>60</v>
      </c>
      <c r="F25" s="85">
        <f>SUMIF(Tracker!$U$9:$U$406, E25, Tracker!$H$9:$H$406)+SUMIF(Tracker!$U$9:$U$406, E25, Tracker!$I$9:$I$406)</f>
        <v>14114.79334206097</v>
      </c>
      <c r="Q25" s="8" t="s">
        <v>127</v>
      </c>
      <c r="R25" s="93">
        <f>B20</f>
        <v>460165.30764914909</v>
      </c>
      <c r="S25" s="113">
        <f>R25/28</f>
        <v>16434.475273183896</v>
      </c>
    </row>
    <row r="26" spans="1:19" ht="25" customHeight="1" x14ac:dyDescent="0.35">
      <c r="A26" s="68" t="s">
        <v>20</v>
      </c>
      <c r="B26" s="80">
        <f>SUMIF(Tracker!$U$9:$U$406, A26, Tracker!$H$9:$H$406)+SUMIF(Tracker!$U$9:$U$406, A26, Tracker!$I$9:$I$406)</f>
        <v>11726.201608378531</v>
      </c>
      <c r="C26" s="70" t="s">
        <v>99</v>
      </c>
      <c r="D26" s="82">
        <f>SUMIF(Tracker!$U$9:$U$406, C26, Tracker!$H$9:$H$406)+SUMIF(Tracker!$U$9:$U$406, C26, Tracker!$I$9:$I$406)</f>
        <v>7971.6149242565925</v>
      </c>
      <c r="E26" s="72" t="s">
        <v>63</v>
      </c>
      <c r="F26" s="85">
        <f>SUMIF(Tracker!$U$9:$U$406, E26, Tracker!$H$9:$H$406)+SUMIF(Tracker!$U$9:$U$406, E26, Tracker!$I$9:$I$406)</f>
        <v>0</v>
      </c>
    </row>
    <row r="27" spans="1:19" ht="25" customHeight="1" x14ac:dyDescent="0.35">
      <c r="A27" s="68" t="s">
        <v>22</v>
      </c>
      <c r="B27" s="80">
        <f>SUMIF(Tracker!$U$9:$U$406, A27, Tracker!$H$9:$H$406)+SUMIF(Tracker!$U$9:$U$406, A27, Tracker!$I$9:$I$406)</f>
        <v>16123.527211520481</v>
      </c>
      <c r="C27" s="70" t="s">
        <v>91</v>
      </c>
      <c r="D27" s="82">
        <f>SUMIF(Tracker!$U$9:$U$406, C27, Tracker!$H$9:$H$406)+SUMIF(Tracker!$U$9:$U$406, C27, Tracker!$I$9:$I$406)</f>
        <v>13028.876005236581</v>
      </c>
      <c r="E27" s="72" t="s">
        <v>66</v>
      </c>
      <c r="F27" s="85">
        <f>SUMIF(Tracker!$U$9:$U$406, E27, Tracker!$H$9:$H$406)+SUMIF(Tracker!$U$9:$U$406, E27, Tracker!$I$9:$I$406)</f>
        <v>0</v>
      </c>
    </row>
    <row r="28" spans="1:19" ht="25" customHeight="1" x14ac:dyDescent="0.35">
      <c r="A28" s="68" t="s">
        <v>23</v>
      </c>
      <c r="B28" s="80">
        <f>SUMIF(Tracker!$U$9:$U$406, A28, Tracker!$H$9:$H$406)+SUMIF(Tracker!$U$9:$U$406, A28, Tracker!$I$9:$I$406)</f>
        <v>11726.201608378531</v>
      </c>
      <c r="C28" s="70" t="s">
        <v>90</v>
      </c>
      <c r="D28" s="82">
        <f>SUMIF(Tracker!$U$9:$U$406, C28, Tracker!$H$9:$H$406)+SUMIF(Tracker!$U$9:$U$406, C28, Tracker!$I$9:$I$406)</f>
        <v>13028.876005236581</v>
      </c>
      <c r="E28" s="72" t="s">
        <v>67</v>
      </c>
      <c r="F28" s="85">
        <f>SUMIF(Tracker!$U$9:$U$406, E28, Tracker!$H$9:$H$406)+SUMIF(Tracker!$U$9:$U$406, E28, Tracker!$I$9:$I$406)</f>
        <v>0</v>
      </c>
    </row>
    <row r="29" spans="1:19" ht="25" customHeight="1" x14ac:dyDescent="0.35">
      <c r="A29" s="68" t="s">
        <v>24</v>
      </c>
      <c r="B29" s="80">
        <f>SUMIF(Tracker!$U$9:$U$406, A29, Tracker!$H$9:$H$406)+SUMIF(Tracker!$U$9:$U$406, A29, Tracker!$I$9:$I$406)</f>
        <v>11726.201608378531</v>
      </c>
      <c r="C29" s="70" t="s">
        <v>46</v>
      </c>
      <c r="D29" s="82">
        <f>SUMIF(Tracker!$U$9:$U$406, C29, Tracker!$H$9:$H$406)+SUMIF(Tracker!$U$9:$U$406, C29, Tracker!$I$9:$I$406)</f>
        <v>29871.030484383766</v>
      </c>
      <c r="E29" s="72" t="s">
        <v>71</v>
      </c>
      <c r="F29" s="85">
        <f>SUMIF(Tracker!$U$9:$U$406, E29, Tracker!$H$9:$H$406)+SUMIF(Tracker!$U$9:$U$406, E29, Tracker!$I$9:$I$406)</f>
        <v>28114.942958668413</v>
      </c>
    </row>
    <row r="30" spans="1:19" ht="25" customHeight="1" x14ac:dyDescent="0.35">
      <c r="A30" s="68" t="s">
        <v>25</v>
      </c>
      <c r="B30" s="80">
        <f>SUMIF(Tracker!$U$9:$U$406, A30, Tracker!$H$9:$H$406)+SUMIF(Tracker!$U$9:$U$406, A30, Tracker!$I$9:$I$406)</f>
        <v>11726.201608378531</v>
      </c>
      <c r="C30" s="70" t="s">
        <v>47</v>
      </c>
      <c r="D30" s="82">
        <f>SUMIF(Tracker!$U$9:$U$406, C30, Tracker!$H$9:$H$406)+SUMIF(Tracker!$U$9:$U$406, C30, Tracker!$I$9:$I$406)</f>
        <v>18687.787544417428</v>
      </c>
      <c r="E30" s="72" t="s">
        <v>73</v>
      </c>
      <c r="F30" s="85">
        <f>SUMIF(Tracker!$U$9:$U$406, E30, Tracker!$H$9:$H$406)+SUMIF(Tracker!$U$9:$U$406, E30, Tracker!$I$9:$I$406)</f>
        <v>35900</v>
      </c>
    </row>
    <row r="31" spans="1:19" ht="25" customHeight="1" x14ac:dyDescent="0.35">
      <c r="A31" s="68" t="s">
        <v>26</v>
      </c>
      <c r="B31" s="80">
        <f>SUMIF(Tracker!$U$9:$U$406, A31, Tracker!$H$9:$H$406)+SUMIF(Tracker!$U$9:$U$406, A31, Tracker!$I$9:$I$406)</f>
        <v>11726.201608378531</v>
      </c>
      <c r="C31" s="70" t="s">
        <v>48</v>
      </c>
      <c r="D31" s="82">
        <f>SUMIF(Tracker!$U$9:$U$406, C31, Tracker!$H$9:$H$406)+SUMIF(Tracker!$U$9:$U$406, C31, Tracker!$I$9:$I$406)</f>
        <v>0</v>
      </c>
      <c r="E31" s="72" t="s">
        <v>74</v>
      </c>
      <c r="F31" s="85">
        <f>SUMIF(Tracker!$U$9:$U$406, E31, Tracker!$H$9:$H$406)+SUMIF(Tracker!$U$9:$U$406, E31, Tracker!$I$9:$I$406)</f>
        <v>0</v>
      </c>
    </row>
    <row r="32" spans="1:19" ht="25" customHeight="1" x14ac:dyDescent="0.35">
      <c r="A32" s="68" t="s">
        <v>27</v>
      </c>
      <c r="B32" s="80">
        <f>SUMIF(Tracker!$U$9:$U$406, A32, Tracker!$H$9:$H$406)+SUMIF(Tracker!$U$9:$U$406, A32, Tracker!$I$9:$I$406)</f>
        <v>25256.031419487565</v>
      </c>
      <c r="C32" s="70" t="s">
        <v>50</v>
      </c>
      <c r="D32" s="82">
        <f>SUMIF(Tracker!$U$9:$U$406, C32, Tracker!$H$9:$H$406)+SUMIF(Tracker!$U$9:$U$406, C32, Tracker!$I$9:$I$406)</f>
        <v>18687.787544417428</v>
      </c>
      <c r="E32" s="72" t="s">
        <v>75</v>
      </c>
      <c r="F32" s="85">
        <f>SUMIF(Tracker!$U$9:$U$406, E32, Tracker!$H$9:$H$406)+SUMIF(Tracker!$U$9:$U$406, E32, Tracker!$I$9:$I$406)</f>
        <v>0</v>
      </c>
    </row>
    <row r="33" spans="1:6" ht="25" customHeight="1" x14ac:dyDescent="0.35">
      <c r="A33" s="68" t="s">
        <v>28</v>
      </c>
      <c r="B33" s="80">
        <f>SUMIF(Tracker!$U$9:$U$406, A33, Tracker!$H$9:$H$406)+SUMIF(Tracker!$U$9:$U$406, A33, Tracker!$I$9:$I$406)</f>
        <v>15669.048064335142</v>
      </c>
      <c r="C33" s="70" t="s">
        <v>51</v>
      </c>
      <c r="D33" s="82">
        <f>SUMIF(Tracker!$U$9:$U$406, C33, Tracker!$H$9:$H$406)+SUMIF(Tracker!$U$9:$U$406, C33, Tracker!$I$9:$I$406)</f>
        <v>0</v>
      </c>
      <c r="E33" s="72" t="s">
        <v>77</v>
      </c>
      <c r="F33" s="85">
        <f>SUMIF(Tracker!$U$9:$U$406, E33, Tracker!$H$9:$H$406)+SUMIF(Tracker!$U$9:$U$406, E33, Tracker!$I$9:$I$406)</f>
        <v>28700.556386758934</v>
      </c>
    </row>
    <row r="34" spans="1:6" ht="25" customHeight="1" x14ac:dyDescent="0.35">
      <c r="A34" s="68" t="s">
        <v>29</v>
      </c>
      <c r="B34" s="80">
        <f>SUMIF(Tracker!$U$9:$U$406, A34, Tracker!$H$9:$H$406)+SUMIF(Tracker!$U$9:$U$406, A34, Tracker!$I$9:$I$406)</f>
        <v>15669.048064335142</v>
      </c>
      <c r="C34" s="70" t="s">
        <v>53</v>
      </c>
      <c r="D34" s="82">
        <f>SUMIF(Tracker!$U$9:$U$406, C34, Tracker!$H$9:$H$406)+SUMIF(Tracker!$U$9:$U$406, C34, Tracker!$I$9:$I$406)</f>
        <v>37701.355900504961</v>
      </c>
      <c r="E34" s="72" t="s">
        <v>78</v>
      </c>
      <c r="F34" s="85">
        <f>SUMIF(Tracker!$U$9:$U$406, E34, Tracker!$H$9:$H$406)+SUMIF(Tracker!$U$9:$U$406, E34, Tracker!$I$9:$I$406)</f>
        <v>0</v>
      </c>
    </row>
    <row r="35" spans="1:6" ht="25" customHeight="1" x14ac:dyDescent="0.35">
      <c r="A35" s="68" t="s">
        <v>30</v>
      </c>
      <c r="B35" s="80">
        <f>SUMIF(Tracker!$U$9:$U$406, A35, Tracker!$H$9:$H$406)+SUMIF(Tracker!$U$9:$U$406, A35, Tracker!$I$9:$I$406)</f>
        <v>32498.555264634371</v>
      </c>
      <c r="C35" s="70" t="s">
        <v>92</v>
      </c>
      <c r="D35" s="82">
        <f>SUMIF(Tracker!$U$9:$U$406, C35, Tracker!$H$9:$H$406)+SUMIF(Tracker!$U$9:$U$406, C35, Tracker!$I$9:$I$406)</f>
        <v>0</v>
      </c>
      <c r="E35" s="72" t="s">
        <v>79</v>
      </c>
      <c r="F35" s="85">
        <f>SUMIF(Tracker!$U$9:$U$406, E35, Tracker!$H$9:$H$406)+SUMIF(Tracker!$U$9:$U$406, E35, Tracker!$I$9:$I$406)</f>
        <v>0</v>
      </c>
    </row>
    <row r="36" spans="1:6" ht="25" customHeight="1" x14ac:dyDescent="0.35">
      <c r="A36" s="68" t="s">
        <v>31</v>
      </c>
      <c r="B36" s="80">
        <f>SUMIF(Tracker!$U$9:$U$406, A36, Tracker!$H$9:$H$406)+SUMIF(Tracker!$U$9:$U$406, A36, Tracker!$I$9:$I$406)</f>
        <v>25438.166261455022</v>
      </c>
      <c r="C36" s="70" t="s">
        <v>98</v>
      </c>
      <c r="D36" s="82">
        <f>SUMIF(Tracker!$U$9:$U$406, C36, Tracker!$H$9:$H$406)+SUMIF(Tracker!$U$9:$U$406, C36, Tracker!$I$9:$I$406)</f>
        <v>7971.6149242565925</v>
      </c>
      <c r="E36" s="72" t="s">
        <v>80</v>
      </c>
      <c r="F36" s="85">
        <f>SUMIF(Tracker!$U$9:$U$406, E36, Tracker!$H$9:$H$406)+SUMIF(Tracker!$U$9:$U$406, E36, Tracker!$I$9:$I$406)</f>
        <v>14114.79334206097</v>
      </c>
    </row>
    <row r="37" spans="1:6" ht="25" customHeight="1" x14ac:dyDescent="0.35">
      <c r="A37" s="68" t="s">
        <v>33</v>
      </c>
      <c r="B37" s="80">
        <f>SUMIF(Tracker!$U$9:$U$406, A37, Tracker!$H$9:$H$406)+SUMIF(Tracker!$U$9:$U$406, A37, Tracker!$I$9:$I$406)</f>
        <v>23886.272676267068</v>
      </c>
      <c r="C37" s="70"/>
      <c r="D37" s="82"/>
      <c r="E37" s="72" t="s">
        <v>81</v>
      </c>
      <c r="F37" s="85">
        <f>SUMIF(Tracker!$U$9:$U$406, E37, Tracker!$H$9:$H$406)+SUMIF(Tracker!$U$9:$U$406, E37, Tracker!$I$9:$I$406)</f>
        <v>20900</v>
      </c>
    </row>
    <row r="38" spans="1:6" ht="25" customHeight="1" x14ac:dyDescent="0.35">
      <c r="A38" s="68" t="s">
        <v>35</v>
      </c>
      <c r="B38" s="80">
        <f>SUMIF(Tracker!$U$9:$U$406, A38, Tracker!$H$9:$H$406)+SUMIF(Tracker!$U$9:$U$406, A38, Tracker!$I$9:$I$406)</f>
        <v>0</v>
      </c>
      <c r="C38" s="70"/>
      <c r="D38" s="82"/>
      <c r="E38" s="72" t="s">
        <v>82</v>
      </c>
      <c r="F38" s="85">
        <f>SUMIF(Tracker!$U$9:$U$406, E38, Tracker!$H$9:$H$406)+SUMIF(Tracker!$U$9:$U$406, E38, Tracker!$I$9:$I$406)</f>
        <v>37000</v>
      </c>
    </row>
    <row r="39" spans="1:6" ht="25" customHeight="1" x14ac:dyDescent="0.35">
      <c r="A39" s="68" t="s">
        <v>36</v>
      </c>
      <c r="B39" s="80">
        <f>SUMIF(Tracker!$U$9:$U$406, A39, Tracker!$H$9:$H$406)+SUMIF(Tracker!$U$9:$U$406, A39, Tracker!$I$9:$I$406)</f>
        <v>24000.561062277913</v>
      </c>
      <c r="C39" s="70"/>
      <c r="D39" s="82"/>
      <c r="E39" s="72" t="s">
        <v>83</v>
      </c>
      <c r="F39" s="85">
        <f>SUMIF(Tracker!$U$9:$U$406, E39, Tracker!$H$9:$H$406)+SUMIF(Tracker!$U$9:$U$406, E39, Tracker!$I$9:$I$406)</f>
        <v>31300</v>
      </c>
    </row>
    <row r="40" spans="1:6" ht="25" customHeight="1" x14ac:dyDescent="0.35">
      <c r="A40" s="68" t="s">
        <v>37</v>
      </c>
      <c r="B40" s="80">
        <f>SUMIF(Tracker!$U$9:$U$406, A40, Tracker!$H$9:$H$406)+SUMIF(Tracker!$U$9:$U$406, A40, Tracker!$I$9:$I$406)</f>
        <v>13910</v>
      </c>
      <c r="C40" s="70"/>
      <c r="D40" s="82"/>
      <c r="E40" s="72" t="s">
        <v>84</v>
      </c>
      <c r="F40" s="85">
        <f>SUMIF(Tracker!$U$9:$U$406, E40, Tracker!$H$9:$H$406)+SUMIF(Tracker!$U$9:$U$406, E40, Tracker!$I$9:$I$406)</f>
        <v>34886.010847204037</v>
      </c>
    </row>
    <row r="41" spans="1:6" ht="25" customHeight="1" x14ac:dyDescent="0.35">
      <c r="A41" s="68" t="s">
        <v>39</v>
      </c>
      <c r="B41" s="80">
        <f>SUMIF(Tracker!$U$9:$U$406, A41, Tracker!$H$9:$H$406)+SUMIF(Tracker!$U$9:$U$406, A41, Tracker!$I$9:$I$406)</f>
        <v>7540</v>
      </c>
      <c r="C41" s="70"/>
      <c r="D41" s="82"/>
      <c r="E41" s="72" t="s">
        <v>85</v>
      </c>
      <c r="F41" s="85">
        <f>SUMIF(Tracker!$U$9:$U$406, E41, Tracker!$H$9:$H$406)+SUMIF(Tracker!$U$9:$U$406, E41, Tracker!$I$9:$I$406)</f>
        <v>19705.881802880118</v>
      </c>
    </row>
    <row r="42" spans="1:6" ht="25" customHeight="1" x14ac:dyDescent="0.35">
      <c r="A42" s="68" t="s">
        <v>68</v>
      </c>
      <c r="B42" s="80">
        <f>SUMIF(Tracker!$U$9:$U$406, A42, Tracker!$H$9:$H$406)+SUMIF(Tracker!$U$9:$U$406, A42, Tracker!$I$9:$I$406)</f>
        <v>45700</v>
      </c>
      <c r="C42" s="70"/>
      <c r="D42" s="82"/>
      <c r="E42" s="72" t="s">
        <v>100</v>
      </c>
      <c r="F42" s="85">
        <f>SUMIF(Tracker!$U$9:$U$406, E42, Tracker!$H$9:$H$406)+SUMIF(Tracker!$U$9:$U$406, E42, Tracker!$I$9:$I$406)</f>
        <v>0</v>
      </c>
    </row>
    <row r="43" spans="1:6" ht="25" customHeight="1" x14ac:dyDescent="0.35">
      <c r="A43" s="68" t="s">
        <v>70</v>
      </c>
      <c r="B43" s="80">
        <f>SUMIF(Tracker!$U$9:$U$406, A43, Tracker!$H$9:$H$406)+SUMIF(Tracker!$U$9:$U$406, A43, Tracker!$I$9:$I$406)</f>
        <v>36400</v>
      </c>
      <c r="C43" s="70"/>
      <c r="D43" s="82"/>
      <c r="E43" s="72" t="s">
        <v>93</v>
      </c>
      <c r="F43" s="85">
        <f>SUMIF(Tracker!$U$9:$U$406, E43, Tracker!$H$9:$H$406)+SUMIF(Tracker!$U$9:$U$406, E43, Tracker!$I$9:$I$406)</f>
        <v>0</v>
      </c>
    </row>
    <row r="44" spans="1:6" ht="25" customHeight="1" x14ac:dyDescent="0.35">
      <c r="A44" s="68" t="s">
        <v>86</v>
      </c>
      <c r="B44" s="80">
        <f>SUMIF(Tracker!$U$9:$U$406, A44, Tracker!$H$9:$H$406)+SUMIF(Tracker!$U$9:$U$406, A44, Tracker!$I$9:$I$406)</f>
        <v>0</v>
      </c>
      <c r="C44" s="70"/>
      <c r="D44" s="82"/>
      <c r="E44" s="72"/>
      <c r="F44" s="85"/>
    </row>
    <row r="45" spans="1:6" ht="25" customHeight="1" x14ac:dyDescent="0.35">
      <c r="A45" s="68" t="s">
        <v>40</v>
      </c>
      <c r="B45" s="80">
        <f>SUMIF(Tracker!$U$9:$U$406, A45, Tracker!$H$9:$H$406)+SUMIF(Tracker!$U$9:$U$406, A45, Tracker!$I$9:$I$406)</f>
        <v>0</v>
      </c>
      <c r="C45" s="70"/>
      <c r="D45" s="82"/>
      <c r="E45" s="72"/>
      <c r="F45" s="85"/>
    </row>
    <row r="46" spans="1:6" ht="25" customHeight="1" x14ac:dyDescent="0.35">
      <c r="A46" s="68" t="s">
        <v>57</v>
      </c>
      <c r="B46" s="80">
        <f>SUMIF(Tracker!$U$9:$U$406, A46, Tracker!$H$9:$H$406)+SUMIF(Tracker!$U$9:$U$406, A46, Tracker!$I$9:$I$406)</f>
        <v>0</v>
      </c>
      <c r="C46" s="70"/>
      <c r="D46" s="82"/>
      <c r="E46" s="72"/>
      <c r="F46" s="85"/>
    </row>
    <row r="47" spans="1:6" ht="25" customHeight="1" x14ac:dyDescent="0.35">
      <c r="A47" s="68" t="s">
        <v>61</v>
      </c>
      <c r="B47" s="80">
        <f>SUMIF(Tracker!$U$9:$U$406, A47, Tracker!$H$9:$H$406)+SUMIF(Tracker!$U$9:$U$406, A47, Tracker!$I$9:$I$406)</f>
        <v>0</v>
      </c>
      <c r="C47" s="70"/>
      <c r="D47" s="82"/>
      <c r="E47" s="72"/>
      <c r="F47" s="85"/>
    </row>
    <row r="48" spans="1:6" ht="25" customHeight="1" x14ac:dyDescent="0.35">
      <c r="A48" s="69" t="s">
        <v>65</v>
      </c>
      <c r="B48" s="80">
        <f>SUMIF(Tracker!$U$9:$U$406, A48, Tracker!$H$9:$H$406)+SUMIF(Tracker!$U$9:$U$406, A48, Tracker!$I$9:$I$406)</f>
        <v>18025.621844024685</v>
      </c>
      <c r="C48" s="71"/>
      <c r="D48" s="83"/>
      <c r="E48" s="73"/>
      <c r="F48" s="86"/>
    </row>
    <row r="49" spans="1:2" ht="25" customHeight="1" x14ac:dyDescent="0.35">
      <c r="A49" s="90" t="s">
        <v>97</v>
      </c>
      <c r="B49" s="91">
        <f>SUMIF(Tracker!$U$9:$U$406, A49, Tracker!$H$9:$H$406)+SUMIF(Tracker!$U$9:$U$406, A49, Tracker!$I$9:$I$406)</f>
        <v>10628.819899008789</v>
      </c>
    </row>
    <row r="50" spans="1:2" ht="25" customHeight="1" x14ac:dyDescent="0.35">
      <c r="A50" s="90" t="s">
        <v>42</v>
      </c>
      <c r="B50" s="92">
        <f>SUMIF(Tracker!$U$9:$U$406, A50, Tracker!$H$9:$H$406)+SUMIF(Tracker!$U$9:$U$406, A50, Tracker!$I$9:$I$406)</f>
        <v>24600</v>
      </c>
    </row>
    <row r="51" spans="1:2" ht="25" customHeight="1" x14ac:dyDescent="0.35">
      <c r="A51" s="90" t="s">
        <v>43</v>
      </c>
      <c r="B51" s="92">
        <f>SUMIF(Tracker!$U$9:$U$406, A51, Tracker!$H$9:$H$406)+SUMIF(Tracker!$U$9:$U$406, A51, Tracker!$I$9:$I$406)</f>
        <v>98.087712736113701</v>
      </c>
    </row>
    <row r="52" spans="1:2" ht="25" customHeight="1" x14ac:dyDescent="0.35">
      <c r="A52" s="90" t="s">
        <v>94</v>
      </c>
      <c r="B52" s="92">
        <f>SUMIF(Tracker!$U$9:$U$406, A52, Tracker!$H$9:$H$406)+SUMIF(Tracker!$U$9:$U$406, A52, Tracker!$I$9:$I$406)</f>
        <v>58744.230409575459</v>
      </c>
    </row>
    <row r="53" spans="1:2" ht="25" customHeight="1" x14ac:dyDescent="0.35">
      <c r="A53" s="90" t="s">
        <v>88</v>
      </c>
      <c r="B53" s="92">
        <f>SUMIF(Tracker!$U$9:$U$406, A53, Tracker!$H$9:$H$406)+SUMIF(Tracker!$U$9:$U$406, A53, Tracker!$I$9:$I$406)</f>
        <v>128.57677202169441</v>
      </c>
    </row>
    <row r="54" spans="1:2" ht="25" customHeight="1" x14ac:dyDescent="0.35">
      <c r="A54" s="90" t="s">
        <v>99</v>
      </c>
      <c r="B54" s="92">
        <f>SUMIF(Tracker!$U$9:$U$406, A54, Tracker!$H$9:$H$406)+SUMIF(Tracker!$U$9:$U$406, A54, Tracker!$I$9:$I$406)</f>
        <v>7971.6149242565925</v>
      </c>
    </row>
    <row r="55" spans="1:2" ht="25" customHeight="1" x14ac:dyDescent="0.35">
      <c r="A55" s="90" t="s">
        <v>91</v>
      </c>
      <c r="B55" s="92">
        <f>SUMIF(Tracker!$U$9:$U$406, A55, Tracker!$H$9:$H$406)+SUMIF(Tracker!$U$9:$U$406, A55, Tracker!$I$9:$I$406)</f>
        <v>13028.876005236581</v>
      </c>
    </row>
    <row r="56" spans="1:2" ht="25" customHeight="1" x14ac:dyDescent="0.35">
      <c r="A56" s="90" t="s">
        <v>90</v>
      </c>
      <c r="B56" s="92">
        <f>SUMIF(Tracker!$U$9:$U$406, A56, Tracker!$H$9:$H$406)+SUMIF(Tracker!$U$9:$U$406, A56, Tracker!$I$9:$I$406)</f>
        <v>13028.876005236581</v>
      </c>
    </row>
    <row r="57" spans="1:2" ht="25" customHeight="1" x14ac:dyDescent="0.35">
      <c r="A57" s="90" t="s">
        <v>46</v>
      </c>
      <c r="B57" s="92">
        <f>SUMIF(Tracker!$U$9:$U$406, A57, Tracker!$H$9:$H$406)+SUMIF(Tracker!$U$9:$U$406, A57, Tracker!$I$9:$I$406)</f>
        <v>29871.030484383766</v>
      </c>
    </row>
    <row r="58" spans="1:2" ht="25" customHeight="1" x14ac:dyDescent="0.35">
      <c r="A58" s="90" t="s">
        <v>47</v>
      </c>
      <c r="B58" s="92">
        <f>SUMIF(Tracker!$U$9:$U$406, A58, Tracker!$H$9:$H$406)+SUMIF(Tracker!$U$9:$U$406, A58, Tracker!$I$9:$I$406)</f>
        <v>18687.787544417428</v>
      </c>
    </row>
    <row r="59" spans="1:2" ht="25" customHeight="1" x14ac:dyDescent="0.35">
      <c r="A59" s="90" t="s">
        <v>48</v>
      </c>
      <c r="B59" s="92">
        <f>SUMIF(Tracker!$U$9:$U$406, A59, Tracker!$H$9:$H$406)+SUMIF(Tracker!$U$9:$U$406, A59, Tracker!$I$9:$I$406)</f>
        <v>0</v>
      </c>
    </row>
    <row r="60" spans="1:2" ht="25" customHeight="1" x14ac:dyDescent="0.35">
      <c r="A60" s="90" t="s">
        <v>50</v>
      </c>
      <c r="B60" s="92">
        <f>SUMIF(Tracker!$U$9:$U$406, A60, Tracker!$H$9:$H$406)+SUMIF(Tracker!$U$9:$U$406, A60, Tracker!$I$9:$I$406)</f>
        <v>18687.787544417428</v>
      </c>
    </row>
    <row r="61" spans="1:2" ht="25" customHeight="1" x14ac:dyDescent="0.35">
      <c r="A61" s="90" t="s">
        <v>51</v>
      </c>
      <c r="B61" s="92">
        <f>SUMIF(Tracker!$U$9:$U$406, A61, Tracker!$H$9:$H$406)+SUMIF(Tracker!$U$9:$U$406, A61, Tracker!$I$9:$I$406)</f>
        <v>0</v>
      </c>
    </row>
    <row r="62" spans="1:2" ht="25" customHeight="1" x14ac:dyDescent="0.35">
      <c r="A62" s="90" t="s">
        <v>53</v>
      </c>
      <c r="B62" s="92">
        <f>SUMIF(Tracker!$U$9:$U$406, A62, Tracker!$H$9:$H$406)+SUMIF(Tracker!$U$9:$U$406, A62, Tracker!$I$9:$I$406)</f>
        <v>37701.355900504961</v>
      </c>
    </row>
    <row r="63" spans="1:2" ht="25" customHeight="1" x14ac:dyDescent="0.35">
      <c r="A63" s="90" t="s">
        <v>92</v>
      </c>
      <c r="B63" s="92">
        <f>SUMIF(Tracker!$U$9:$U$406, A63, Tracker!$H$9:$H$406)+SUMIF(Tracker!$U$9:$U$406, A63, Tracker!$I$9:$I$406)</f>
        <v>0</v>
      </c>
    </row>
    <row r="64" spans="1:2" ht="25" customHeight="1" x14ac:dyDescent="0.35">
      <c r="A64" s="90" t="s">
        <v>98</v>
      </c>
      <c r="B64" s="92">
        <f>SUMIF(Tracker!$U$9:$U$406, A64, Tracker!$H$9:$H$406)+SUMIF(Tracker!$U$9:$U$406, A64, Tracker!$I$9:$I$406)</f>
        <v>7971.6149242565925</v>
      </c>
    </row>
    <row r="65" spans="1:2" ht="25" customHeight="1" x14ac:dyDescent="0.35">
      <c r="A65" s="90" t="s">
        <v>44</v>
      </c>
      <c r="B65" s="92">
        <f>SUMIF(Tracker!$U$9:$U$406, A65, Tracker!$H$9:$H$406)+SUMIF(Tracker!$U$9:$U$406, A65, Tracker!$I$9:$I$406)</f>
        <v>0</v>
      </c>
    </row>
    <row r="66" spans="1:2" ht="25" customHeight="1" x14ac:dyDescent="0.35">
      <c r="A66" s="90" t="s">
        <v>56</v>
      </c>
      <c r="B66" s="92">
        <f>SUMIF(Tracker!$U$9:$U$406, A66, Tracker!$H$9:$H$406)+SUMIF(Tracker!$U$9:$U$406, A66, Tracker!$I$9:$I$406)</f>
        <v>18025.621844024685</v>
      </c>
    </row>
    <row r="67" spans="1:2" ht="25" customHeight="1" x14ac:dyDescent="0.35">
      <c r="A67" s="90" t="s">
        <v>54</v>
      </c>
      <c r="B67" s="92">
        <f>SUMIF(Tracker!$U$9:$U$406, A67, Tracker!$H$9:$H$406)+SUMIF(Tracker!$U$9:$U$406, A67, Tracker!$I$9:$I$406)</f>
        <v>0</v>
      </c>
    </row>
    <row r="68" spans="1:2" ht="25" customHeight="1" x14ac:dyDescent="0.35">
      <c r="A68" s="90" t="s">
        <v>58</v>
      </c>
      <c r="B68" s="92">
        <f>SUMIF(Tracker!$U$9:$U$406, A68, Tracker!$H$9:$H$406)+SUMIF(Tracker!$U$9:$U$406, A68, Tracker!$I$9:$I$406)</f>
        <v>19407.840845333834</v>
      </c>
    </row>
    <row r="69" spans="1:2" ht="25" customHeight="1" x14ac:dyDescent="0.35">
      <c r="A69" s="90" t="s">
        <v>60</v>
      </c>
      <c r="B69" s="92">
        <f>SUMIF(Tracker!$U$9:$U$406, A69, Tracker!$H$9:$H$406)+SUMIF(Tracker!$U$9:$U$406, A69, Tracker!$I$9:$I$406)</f>
        <v>14114.79334206097</v>
      </c>
    </row>
    <row r="70" spans="1:2" ht="25" customHeight="1" x14ac:dyDescent="0.35">
      <c r="A70" s="90" t="s">
        <v>63</v>
      </c>
      <c r="B70" s="92">
        <f>SUMIF(Tracker!$U$9:$U$406, A70, Tracker!$H$9:$H$406)+SUMIF(Tracker!$U$9:$U$406, A70, Tracker!$I$9:$I$406)</f>
        <v>0</v>
      </c>
    </row>
    <row r="71" spans="1:2" ht="25" customHeight="1" x14ac:dyDescent="0.35">
      <c r="A71" s="90" t="s">
        <v>66</v>
      </c>
      <c r="B71" s="92">
        <f>SUMIF(Tracker!$U$9:$U$406, A71, Tracker!$H$9:$H$406)+SUMIF(Tracker!$U$9:$U$406, A71, Tracker!$I$9:$I$406)</f>
        <v>0</v>
      </c>
    </row>
    <row r="72" spans="1:2" ht="25" customHeight="1" x14ac:dyDescent="0.35">
      <c r="A72" s="90" t="s">
        <v>67</v>
      </c>
      <c r="B72" s="92">
        <f>SUMIF(Tracker!$U$9:$U$406, A72, Tracker!$H$9:$H$406)+SUMIF(Tracker!$U$9:$U$406, A72, Tracker!$I$9:$I$406)</f>
        <v>0</v>
      </c>
    </row>
    <row r="73" spans="1:2" ht="25" customHeight="1" x14ac:dyDescent="0.35">
      <c r="A73" s="90" t="s">
        <v>71</v>
      </c>
      <c r="B73" s="92">
        <f>SUMIF(Tracker!$U$9:$U$406, A73, Tracker!$H$9:$H$406)+SUMIF(Tracker!$U$9:$U$406, A73, Tracker!$I$9:$I$406)</f>
        <v>28114.942958668413</v>
      </c>
    </row>
    <row r="74" spans="1:2" ht="25" customHeight="1" x14ac:dyDescent="0.35">
      <c r="A74" s="90" t="s">
        <v>73</v>
      </c>
      <c r="B74" s="92">
        <f>SUMIF(Tracker!$U$9:$U$406, A74, Tracker!$H$9:$H$406)+SUMIF(Tracker!$U$9:$U$406, A74, Tracker!$I$9:$I$406)</f>
        <v>35900</v>
      </c>
    </row>
    <row r="75" spans="1:2" ht="25" customHeight="1" x14ac:dyDescent="0.35">
      <c r="A75" s="90" t="s">
        <v>74</v>
      </c>
      <c r="B75" s="92">
        <f>SUMIF(Tracker!$U$9:$U$406, A75, Tracker!$H$9:$H$406)+SUMIF(Tracker!$U$9:$U$406, A75, Tracker!$I$9:$I$406)</f>
        <v>0</v>
      </c>
    </row>
    <row r="76" spans="1:2" ht="25" customHeight="1" x14ac:dyDescent="0.35">
      <c r="A76" s="90" t="s">
        <v>75</v>
      </c>
      <c r="B76" s="92">
        <f>SUMIF(Tracker!$U$9:$U$406, A76, Tracker!$H$9:$H$406)+SUMIF(Tracker!$U$9:$U$406, A76, Tracker!$I$9:$I$406)</f>
        <v>0</v>
      </c>
    </row>
    <row r="77" spans="1:2" ht="25" customHeight="1" x14ac:dyDescent="0.35">
      <c r="A77" s="90" t="s">
        <v>77</v>
      </c>
      <c r="B77" s="92">
        <f>SUMIF(Tracker!$U$9:$U$406, A77, Tracker!$H$9:$H$406)+SUMIF(Tracker!$U$9:$U$406, A77, Tracker!$I$9:$I$406)</f>
        <v>28700.556386758934</v>
      </c>
    </row>
    <row r="78" spans="1:2" ht="25" customHeight="1" x14ac:dyDescent="0.35">
      <c r="A78" s="90" t="s">
        <v>78</v>
      </c>
      <c r="B78" s="92">
        <f>SUMIF(Tracker!$U$9:$U$406, A78, Tracker!$H$9:$H$406)+SUMIF(Tracker!$U$9:$U$406, A78, Tracker!$I$9:$I$406)</f>
        <v>0</v>
      </c>
    </row>
    <row r="79" spans="1:2" ht="25" customHeight="1" x14ac:dyDescent="0.35">
      <c r="A79" s="90" t="s">
        <v>79</v>
      </c>
      <c r="B79" s="92">
        <f>SUMIF(Tracker!$U$9:$U$406, A79, Tracker!$H$9:$H$406)+SUMIF(Tracker!$U$9:$U$406, A79, Tracker!$I$9:$I$406)</f>
        <v>0</v>
      </c>
    </row>
    <row r="80" spans="1:2" ht="25" customHeight="1" x14ac:dyDescent="0.35">
      <c r="A80" s="90" t="s">
        <v>80</v>
      </c>
      <c r="B80" s="92">
        <f>SUMIF(Tracker!$U$9:$U$406, A80, Tracker!$H$9:$H$406)+SUMIF(Tracker!$U$9:$U$406, A80, Tracker!$I$9:$I$406)</f>
        <v>14114.79334206097</v>
      </c>
    </row>
    <row r="81" spans="1:9" ht="25" customHeight="1" x14ac:dyDescent="0.35">
      <c r="A81" s="90" t="s">
        <v>81</v>
      </c>
      <c r="B81" s="92">
        <f>SUMIF(Tracker!$U$9:$U$406, A81, Tracker!$H$9:$H$406)+SUMIF(Tracker!$U$9:$U$406, A81, Tracker!$I$9:$I$406)</f>
        <v>20900</v>
      </c>
    </row>
    <row r="82" spans="1:9" ht="25" customHeight="1" x14ac:dyDescent="0.35">
      <c r="A82" s="90" t="s">
        <v>82</v>
      </c>
      <c r="B82" s="92">
        <f>SUMIF(Tracker!$U$9:$U$406, A82, Tracker!$H$9:$H$406)+SUMIF(Tracker!$U$9:$U$406, A82, Tracker!$I$9:$I$406)</f>
        <v>37000</v>
      </c>
    </row>
    <row r="83" spans="1:9" ht="25" customHeight="1" x14ac:dyDescent="0.35">
      <c r="A83" s="90" t="s">
        <v>83</v>
      </c>
      <c r="B83" s="92">
        <f>SUMIF(Tracker!$U$9:$U$406, A83, Tracker!$H$9:$H$406)+SUMIF(Tracker!$U$9:$U$406, A83, Tracker!$I$9:$I$406)</f>
        <v>31300</v>
      </c>
    </row>
    <row r="84" spans="1:9" ht="25" customHeight="1" x14ac:dyDescent="0.35">
      <c r="A84" s="90" t="s">
        <v>84</v>
      </c>
      <c r="B84" s="92">
        <f>SUMIF(Tracker!$U$9:$U$406, A84, Tracker!$H$9:$H$406)+SUMIF(Tracker!$U$9:$U$406, A84, Tracker!$I$9:$I$406)</f>
        <v>34886.010847204037</v>
      </c>
    </row>
    <row r="85" spans="1:9" ht="25" customHeight="1" x14ac:dyDescent="0.35">
      <c r="A85" s="90" t="s">
        <v>85</v>
      </c>
      <c r="B85" s="92">
        <f>SUMIF(Tracker!$U$9:$U$406, A85, Tracker!$H$9:$H$406)+SUMIF(Tracker!$U$9:$U$406, A85, Tracker!$I$9:$I$406)</f>
        <v>19705.881802880118</v>
      </c>
    </row>
    <row r="86" spans="1:9" ht="25" customHeight="1" x14ac:dyDescent="0.35">
      <c r="A86" s="90" t="s">
        <v>100</v>
      </c>
      <c r="B86" s="92">
        <f>SUMIF(Tracker!$U$9:$U$406, A86, Tracker!$H$9:$H$406)+SUMIF(Tracker!$U$9:$U$406, A86, Tracker!$I$9:$I$406)</f>
        <v>0</v>
      </c>
    </row>
    <row r="87" spans="1:9" ht="25" customHeight="1" x14ac:dyDescent="0.35">
      <c r="A87" s="90" t="s">
        <v>93</v>
      </c>
      <c r="B87" s="92">
        <f>SUMIF(Tracker!$U$9:$U$406, A87, Tracker!$H$9:$H$406)+SUMIF(Tracker!$U$9:$U$406, A87, Tracker!$I$9:$I$406)</f>
        <v>0</v>
      </c>
    </row>
    <row r="89" spans="1:9" ht="25" customHeight="1" x14ac:dyDescent="0.35">
      <c r="A89" s="8" t="s">
        <v>94</v>
      </c>
      <c r="B89" s="93">
        <f>SUMIF(Tracker!$U$9:$U$406, A89, Tracker!$H$9:$H$406)+SUMIF(Tracker!$U$9:$U$406, A89, Tracker!$I$9:$I$406)</f>
        <v>58744.230409575459</v>
      </c>
      <c r="C89" s="8">
        <f>SUMIF(Tracker!$U$9:$U$406, A89, Tracker!$J$9:$J$406)</f>
        <v>234.29119132223678</v>
      </c>
      <c r="E89" s="8" t="s">
        <v>73</v>
      </c>
      <c r="F89" s="93">
        <f>SUMIF(Tracker!$U$9:$U$406, E89, Tracker!$H$9:$H$406)+SUMIF(Tracker!$U$9:$U$406, E89, Tracker!$I$9:$I$406)</f>
        <v>35900</v>
      </c>
      <c r="G89" s="8">
        <f>SUMIF(Tracker!$U$9:$U$406, E89, Tracker!$J$9:$J$406)</f>
        <v>175</v>
      </c>
      <c r="H89" s="49">
        <v>100</v>
      </c>
      <c r="I89" s="8">
        <v>100</v>
      </c>
    </row>
    <row r="90" spans="1:9" ht="25" customHeight="1" x14ac:dyDescent="0.35">
      <c r="A90" s="8" t="s">
        <v>68</v>
      </c>
      <c r="B90" s="93">
        <f>SUMIF(Tracker!$U$9:$U$406, A90, Tracker!$H$9:$H$406)+SUMIF(Tracker!$U$9:$U$406, A90, Tracker!$I$9:$I$406)</f>
        <v>45700</v>
      </c>
      <c r="C90" s="8">
        <f>SUMIF(Tracker!$U$9:$U$406, A90, Tracker!$J$9:$J$406)</f>
        <v>194</v>
      </c>
      <c r="E90" s="8" t="s">
        <v>94</v>
      </c>
      <c r="F90" s="93">
        <f>SUMIF(Tracker!$U$9:$U$406, E90, Tracker!$H$9:$H$406)+SUMIF(Tracker!$U$9:$U$406, E90, Tracker!$I$9:$I$406)</f>
        <v>58744.230409575459</v>
      </c>
      <c r="G90" s="8">
        <f>SUMIF(Tracker!$U$9:$U$406, E90, Tracker!$J$9:$J$406)</f>
        <v>234.29119132223678</v>
      </c>
      <c r="H90" s="49">
        <f>80*((F90/52000)+(G90/210))/2</f>
        <v>89.814763131015241</v>
      </c>
      <c r="I90" s="49">
        <f>H90</f>
        <v>89.814763131015241</v>
      </c>
    </row>
    <row r="91" spans="1:9" ht="25" customHeight="1" x14ac:dyDescent="0.35">
      <c r="A91" s="8" t="s">
        <v>16</v>
      </c>
      <c r="B91" s="93">
        <f>SUMIF(Tracker!$U$9:$U$406, A91, Tracker!$H$9:$H$406)+SUMIF(Tracker!$U$9:$U$406, A91, Tracker!$I$9:$I$406)</f>
        <v>39260</v>
      </c>
      <c r="C91" s="8">
        <f>SUMIF(Tracker!$U$9:$U$406, A91, Tracker!$J$9:$J$406)</f>
        <v>156</v>
      </c>
      <c r="E91" s="8" t="s">
        <v>68</v>
      </c>
      <c r="F91" s="93">
        <f>SUMIF(Tracker!$U$9:$U$406, E91, Tracker!$H$9:$H$406)+SUMIF(Tracker!$U$9:$U$406, E91, Tracker!$I$9:$I$406)</f>
        <v>45700</v>
      </c>
      <c r="G91" s="8">
        <f>SUMIF(Tracker!$U$9:$U$406, E91, Tracker!$J$9:$J$406)</f>
        <v>194</v>
      </c>
      <c r="H91" s="49">
        <f>80*((F91/52000)+(G91/210))/2</f>
        <v>72.106227106227109</v>
      </c>
      <c r="I91" s="8">
        <f>H91*(21600/VLOOKUP(E91, Tracker!$U$9:$W$406, 3, FALSE))</f>
        <v>77.874725274725279</v>
      </c>
    </row>
    <row r="92" spans="1:9" ht="25" customHeight="1" x14ac:dyDescent="0.35">
      <c r="A92" s="8" t="s">
        <v>53</v>
      </c>
      <c r="B92" s="93">
        <f>SUMIF(Tracker!$U$9:$U$406, A92, Tracker!$H$9:$H$406)+SUMIF(Tracker!$U$9:$U$406, A92, Tracker!$I$9:$I$406)</f>
        <v>37701.355900504961</v>
      </c>
      <c r="C92" s="8">
        <f>SUMIF(Tracker!$U$9:$U$406, A92, Tracker!$J$9:$J$406)</f>
        <v>180.14933607630448</v>
      </c>
      <c r="E92" s="8" t="s">
        <v>53</v>
      </c>
      <c r="F92" s="93">
        <f>SUMIF(Tracker!$U$9:$U$406, E92, Tracker!$H$9:$H$406)+SUMIF(Tracker!$U$9:$U$406, E92, Tracker!$I$9:$I$406)</f>
        <v>37701.355900504961</v>
      </c>
      <c r="G92" s="8">
        <f>SUMIF(Tracker!$U$9:$U$406, E92, Tracker!$J$9:$J$406)</f>
        <v>180.14933607630448</v>
      </c>
      <c r="H92" s="49">
        <f>80*((F92/52000)+(G92/210))/2</f>
        <v>63.315202253017858</v>
      </c>
      <c r="I92" s="8">
        <f>H92*(21600/VLOOKUP(E92, Tracker!$U$9:$W$406, 3, FALSE))</f>
        <v>68.380418433259294</v>
      </c>
    </row>
    <row r="93" spans="1:9" ht="25" customHeight="1" x14ac:dyDescent="0.35">
      <c r="A93" s="8" t="s">
        <v>82</v>
      </c>
      <c r="B93" s="93">
        <f>SUMIF(Tracker!$U$9:$U$406, A93, Tracker!$H$9:$H$406)+SUMIF(Tracker!$U$9:$U$406, A93, Tracker!$I$9:$I$406)</f>
        <v>37000</v>
      </c>
      <c r="C93" s="8">
        <f>SUMIF(Tracker!$U$9:$U$406, A93, Tracker!$J$9:$J$406)</f>
        <v>160</v>
      </c>
      <c r="E93" s="8" t="s">
        <v>82</v>
      </c>
      <c r="F93" s="93">
        <f>SUMIF(Tracker!$U$9:$U$406, E93, Tracker!$H$9:$H$406)+SUMIF(Tracker!$U$9:$U$406, E93, Tracker!$I$9:$I$406)</f>
        <v>37000</v>
      </c>
      <c r="G93" s="8">
        <f>SUMIF(Tracker!$U$9:$U$406, E93, Tracker!$J$9:$J$406)</f>
        <v>160</v>
      </c>
      <c r="H93" s="49">
        <f>80*((F93/52000)+(G93/210))/2</f>
        <v>58.937728937728942</v>
      </c>
      <c r="I93" s="8">
        <f>H93*(21600/VLOOKUP(E93, Tracker!$U$9:$W$406, 3, FALSE))</f>
        <v>63.652747252747261</v>
      </c>
    </row>
    <row r="94" spans="1:9" ht="25" customHeight="1" x14ac:dyDescent="0.35">
      <c r="A94" s="8" t="s">
        <v>70</v>
      </c>
      <c r="B94" s="93">
        <f>SUMIF(Tracker!$U$9:$U$406, A94, Tracker!$H$9:$H$406)+SUMIF(Tracker!$U$9:$U$406, A94, Tracker!$I$9:$I$406)</f>
        <v>36400</v>
      </c>
      <c r="C94" s="8">
        <f>SUMIF(Tracker!$U$9:$U$406, A94, Tracker!$J$9:$J$406)</f>
        <v>149</v>
      </c>
      <c r="E94" s="8" t="s">
        <v>70</v>
      </c>
      <c r="F94" s="93">
        <f>SUMIF(Tracker!$U$9:$U$406, E94, Tracker!$H$9:$H$406)+SUMIF(Tracker!$U$9:$U$406, E94, Tracker!$I$9:$I$406)</f>
        <v>36400</v>
      </c>
      <c r="G94" s="8">
        <f>SUMIF(Tracker!$U$9:$U$406, E94, Tracker!$J$9:$J$406)</f>
        <v>149</v>
      </c>
      <c r="H94" s="49">
        <f>80*((F94/52000)+(G94/210))/2</f>
        <v>56.38095238095238</v>
      </c>
      <c r="I94" s="8">
        <f>H94*(21600/VLOOKUP(E94, Tracker!$U$9:$W$406, 3, FALSE))</f>
        <v>60.891428571428577</v>
      </c>
    </row>
    <row r="95" spans="1:9" ht="25" customHeight="1" x14ac:dyDescent="0.35">
      <c r="A95" s="8" t="s">
        <v>73</v>
      </c>
      <c r="B95" s="93">
        <f>SUMIF(Tracker!$U$9:$U$406, A95, Tracker!$H$9:$H$406)+SUMIF(Tracker!$U$9:$U$406, A95, Tracker!$I$9:$I$406)</f>
        <v>35900</v>
      </c>
      <c r="C95" s="8">
        <f>SUMIF(Tracker!$U$9:$U$406, A95, Tracker!$J$9:$J$406)</f>
        <v>175</v>
      </c>
      <c r="E95" s="8" t="s">
        <v>46</v>
      </c>
      <c r="F95" s="93">
        <f>SUMIF(Tracker!$U$9:$U$406, E95, Tracker!$H$9:$H$406)+SUMIF(Tracker!$U$9:$U$406, E95, Tracker!$I$9:$I$406)</f>
        <v>29871.030484383766</v>
      </c>
      <c r="G95" s="8">
        <f>SUMIF(Tracker!$U$9:$U$406, E95, Tracker!$J$9:$J$406)</f>
        <v>142.73349541799138</v>
      </c>
      <c r="H95" s="49">
        <f>80*((F95/52000)+(G95/210))/2</f>
        <v>50.165048217788062</v>
      </c>
      <c r="I95" s="8">
        <f>H95*(21600/VLOOKUP(E95, Tracker!$U$9:$W$406, 3, FALSE))</f>
        <v>60.198057861345674</v>
      </c>
    </row>
    <row r="96" spans="1:9" ht="25" customHeight="1" x14ac:dyDescent="0.35">
      <c r="A96" s="8" t="s">
        <v>84</v>
      </c>
      <c r="B96" s="93">
        <f>SUMIF(Tracker!$U$9:$U$406, A96, Tracker!$H$9:$H$406)+SUMIF(Tracker!$U$9:$U$406, A96, Tracker!$I$9:$I$406)</f>
        <v>34886.010847204037</v>
      </c>
      <c r="C96" s="8">
        <f>SUMIF(Tracker!$U$9:$U$406, A96, Tracker!$J$9:$J$406)</f>
        <v>150.85842528520666</v>
      </c>
      <c r="E96" s="8" t="s">
        <v>84</v>
      </c>
      <c r="F96" s="93">
        <f>SUMIF(Tracker!$U$9:$U$406, E96, Tracker!$H$9:$H$406)+SUMIF(Tracker!$U$9:$U$406, E96, Tracker!$I$9:$I$406)</f>
        <v>34886.010847204037</v>
      </c>
      <c r="G96" s="8">
        <f>SUMIF(Tracker!$U$9:$U$406, E96, Tracker!$J$9:$J$406)</f>
        <v>150.85842528520666</v>
      </c>
      <c r="H96" s="49">
        <f>80*((F96/52000)+(G96/210))/2</f>
        <v>55.570331108950896</v>
      </c>
      <c r="I96" s="8">
        <f>H96*(21600/VLOOKUP(E96, Tracker!$U$9:$W$406, 3, FALSE))</f>
        <v>60.015957597666969</v>
      </c>
    </row>
    <row r="97" spans="1:9" ht="25" customHeight="1" x14ac:dyDescent="0.35">
      <c r="A97" s="8" t="s">
        <v>30</v>
      </c>
      <c r="B97" s="93">
        <f>SUMIF(Tracker!$U$9:$U$406, A97, Tracker!$H$9:$H$406)+SUMIF(Tracker!$U$9:$U$406, A97, Tracker!$I$9:$I$406)</f>
        <v>32498.555264634371</v>
      </c>
      <c r="C97" s="8">
        <f>SUMIF(Tracker!$U$9:$U$406, A97, Tracker!$J$9:$J$406)</f>
        <v>154.70558256966524</v>
      </c>
      <c r="E97" s="8" t="s">
        <v>30</v>
      </c>
      <c r="F97" s="93">
        <f>SUMIF(Tracker!$U$9:$U$406, E97, Tracker!$H$9:$H$406)+SUMIF(Tracker!$U$9:$U$406, E97, Tracker!$I$9:$I$406)</f>
        <v>32498.555264634371</v>
      </c>
      <c r="G97" s="8">
        <f>SUMIF(Tracker!$U$9:$U$406, E97, Tracker!$J$9:$J$406)</f>
        <v>154.70558256966524</v>
      </c>
      <c r="H97" s="49">
        <f>80*((F97/52000)+(G97/210))/2</f>
        <v>54.466618678372932</v>
      </c>
      <c r="I97" s="8">
        <f>H97*(21600/VLOOKUP(E97, Tracker!$U$9:$W$406, 3, FALSE))</f>
        <v>58.823948172642773</v>
      </c>
    </row>
    <row r="98" spans="1:9" ht="25" customHeight="1" x14ac:dyDescent="0.35">
      <c r="A98" s="8" t="s">
        <v>83</v>
      </c>
      <c r="B98" s="93">
        <f>SUMIF(Tracker!$U$9:$U$406, A98, Tracker!$H$9:$H$406)+SUMIF(Tracker!$U$9:$U$406, A98, Tracker!$I$9:$I$406)</f>
        <v>31300</v>
      </c>
      <c r="C98" s="8">
        <f>SUMIF(Tracker!$U$9:$U$406, A98, Tracker!$J$9:$J$406)</f>
        <v>149</v>
      </c>
      <c r="E98" s="8" t="s">
        <v>83</v>
      </c>
      <c r="F98" s="93">
        <f>SUMIF(Tracker!$U$9:$U$406, E98, Tracker!$H$9:$H$406)+SUMIF(Tracker!$U$9:$U$406, E98, Tracker!$I$9:$I$406)</f>
        <v>31300</v>
      </c>
      <c r="G98" s="8">
        <f>SUMIF(Tracker!$U$9:$U$406, E98, Tracker!$J$9:$J$406)</f>
        <v>149</v>
      </c>
      <c r="H98" s="49">
        <f>80*((F98/52000)+(G98/210))/2</f>
        <v>52.45787545787546</v>
      </c>
      <c r="I98" s="8">
        <f>H98*(21600/VLOOKUP(E98, Tracker!$U$9:$W$406, 3, FALSE))</f>
        <v>56.6545054945055</v>
      </c>
    </row>
    <row r="99" spans="1:9" ht="25" customHeight="1" x14ac:dyDescent="0.35">
      <c r="A99" s="8" t="s">
        <v>46</v>
      </c>
      <c r="B99" s="93">
        <f>SUMIF(Tracker!$U$9:$U$406, A99, Tracker!$H$9:$H$406)+SUMIF(Tracker!$U$9:$U$406, A99, Tracker!$I$9:$I$406)</f>
        <v>29871.030484383766</v>
      </c>
      <c r="C99" s="8">
        <f>SUMIF(Tracker!$U$9:$U$406, A99, Tracker!$J$9:$J$406)</f>
        <v>142.73349541799138</v>
      </c>
      <c r="E99" s="8" t="s">
        <v>77</v>
      </c>
      <c r="F99" s="93">
        <f>SUMIF(Tracker!$U$9:$U$406, E99, Tracker!$H$9:$H$406)+SUMIF(Tracker!$U$9:$U$406, E99, Tracker!$I$9:$I$406)</f>
        <v>28700.556386758934</v>
      </c>
      <c r="G99" s="8">
        <f>SUMIF(Tracker!$U$9:$U$406, E99, Tracker!$J$9:$J$406)</f>
        <v>127.68818963904994</v>
      </c>
      <c r="H99" s="49">
        <f>80*((F99/52000)+(G99/210))/2</f>
        <v>46.398910997985254</v>
      </c>
      <c r="I99" s="8">
        <f>H99*(21600/VLOOKUP(E99, Tracker!$U$9:$W$406, 3, FALSE))</f>
        <v>50.110823877824075</v>
      </c>
    </row>
    <row r="100" spans="1:9" ht="25" customHeight="1" x14ac:dyDescent="0.35">
      <c r="A100" s="8" t="s">
        <v>77</v>
      </c>
      <c r="B100" s="93">
        <f>SUMIF(Tracker!$U$9:$U$406, A100, Tracker!$H$9:$H$406)+SUMIF(Tracker!$U$9:$U$406, A100, Tracker!$I$9:$I$406)</f>
        <v>28700.556386758934</v>
      </c>
      <c r="C100" s="8">
        <f>SUMIF(Tracker!$U$9:$U$406, A100, Tracker!$J$9:$J$406)</f>
        <v>127.68818963904994</v>
      </c>
      <c r="E100" s="8" t="s">
        <v>31</v>
      </c>
      <c r="F100" s="93">
        <f>SUMIF(Tracker!$U$9:$U$406, E100, Tracker!$H$9:$H$406)+SUMIF(Tracker!$U$9:$U$406, E100, Tracker!$I$9:$I$406)</f>
        <v>25438.166261455022</v>
      </c>
      <c r="G100" s="8">
        <f>SUMIF(Tracker!$U$9:$U$406, E100, Tracker!$J$9:$J$406)</f>
        <v>113.17388255096316</v>
      </c>
      <c r="H100" s="49">
        <f>80*((F100/52000)+(G100/210))/2</f>
        <v>41.124750210826519</v>
      </c>
      <c r="I100" s="8">
        <f>H100*(21600/VLOOKUP(E100, Tracker!$U$9:$W$406, 3, FALSE))</f>
        <v>44.414730227692644</v>
      </c>
    </row>
    <row r="101" spans="1:9" ht="25" customHeight="1" x14ac:dyDescent="0.35">
      <c r="A101" s="8" t="s">
        <v>71</v>
      </c>
      <c r="B101" s="93">
        <f>SUMIF(Tracker!$U$9:$U$406, A101, Tracker!$H$9:$H$406)+SUMIF(Tracker!$U$9:$U$406, A101, Tracker!$I$9:$I$406)</f>
        <v>28114.942958668413</v>
      </c>
      <c r="C101" s="8">
        <f>SUMIF(Tracker!$U$9:$U$406, A101, Tracker!$J$9:$J$406)</f>
        <v>124.57434075182346</v>
      </c>
      <c r="E101" s="8" t="s">
        <v>27</v>
      </c>
      <c r="F101" s="93">
        <f>SUMIF(Tracker!$U$9:$U$406, E101, Tracker!$H$9:$H$406)+SUMIF(Tracker!$U$9:$U$406, E101, Tracker!$I$9:$I$406)</f>
        <v>25256.031419487565</v>
      </c>
      <c r="G101" s="8">
        <f>SUMIF(Tracker!$U$9:$U$406, E101, Tracker!$J$9:$J$406)</f>
        <v>112.36356835608753</v>
      </c>
      <c r="H101" s="49">
        <f>80*((F101/52000)+(G101/210))/2</f>
        <v>40.830300925307469</v>
      </c>
      <c r="I101" s="8">
        <f>H101*(21600/VLOOKUP(E101, Tracker!$U$9:$W$406, 3, FALSE))</f>
        <v>44.096724999332068</v>
      </c>
    </row>
    <row r="102" spans="1:9" ht="25" customHeight="1" x14ac:dyDescent="0.35">
      <c r="A102" s="8" t="s">
        <v>18</v>
      </c>
      <c r="B102" s="93">
        <f>SUMIF(Tracker!$U$9:$U$406, A102, Tracker!$H$9:$H$406)+SUMIF(Tracker!$U$9:$U$406, A102, Tracker!$I$9:$I$406)</f>
        <v>27170</v>
      </c>
      <c r="C102" s="8">
        <f>SUMIF(Tracker!$U$9:$U$406, A102, Tracker!$J$9:$J$406)</f>
        <v>97.5</v>
      </c>
      <c r="E102" s="8" t="s">
        <v>42</v>
      </c>
      <c r="F102" s="93">
        <f>SUMIF(Tracker!$U$9:$U$406, E102, Tracker!$H$9:$H$406)+SUMIF(Tracker!$U$9:$U$406, E102, Tracker!$I$9:$I$406)</f>
        <v>24600</v>
      </c>
      <c r="G102" s="8">
        <f>SUMIF(Tracker!$U$9:$U$406, E102, Tracker!$J$9:$J$406)</f>
        <v>109</v>
      </c>
      <c r="H102" s="49">
        <f>80*((F102/52000)+(G102/210))/2</f>
        <v>39.684981684981686</v>
      </c>
      <c r="I102" s="8">
        <f>H102*(21600/VLOOKUP(E102, Tracker!$U$9:$W$406, 3, FALSE))</f>
        <v>39.684981684981686</v>
      </c>
    </row>
    <row r="103" spans="1:9" ht="25" customHeight="1" x14ac:dyDescent="0.35">
      <c r="A103" s="8" t="s">
        <v>19</v>
      </c>
      <c r="B103" s="93">
        <f>SUMIF(Tracker!$U$9:$U$406, A103, Tracker!$H$9:$H$406)+SUMIF(Tracker!$U$9:$U$406, A103, Tracker!$I$9:$I$406)</f>
        <v>27170</v>
      </c>
      <c r="C103" s="8">
        <f>SUMIF(Tracker!$U$9:$U$406, A103, Tracker!$J$9:$J$406)</f>
        <v>97.5</v>
      </c>
      <c r="E103" s="8" t="s">
        <v>71</v>
      </c>
      <c r="F103" s="93">
        <f>SUMIF(Tracker!$U$9:$U$406, E103, Tracker!$H$9:$H$406)+SUMIF(Tracker!$U$9:$U$406, E103, Tracker!$I$9:$I$406)</f>
        <v>28114.942958668413</v>
      </c>
      <c r="G103" s="8">
        <f>SUMIF(Tracker!$U$9:$U$406, E103, Tracker!$J$9:$J$406)</f>
        <v>124.57434075182346</v>
      </c>
      <c r="H103" s="49">
        <f>80*((F103/52000)+(G103/210))/2</f>
        <v>45.355325056465887</v>
      </c>
      <c r="I103" s="8">
        <f>H103*(21600/VLOOKUP(E103, Tracker!$U$9:$W$406, 3, FALSE))</f>
        <v>39.187000848786525</v>
      </c>
    </row>
    <row r="104" spans="1:9" ht="25" customHeight="1" x14ac:dyDescent="0.35">
      <c r="A104" s="8" t="s">
        <v>31</v>
      </c>
      <c r="B104" s="93">
        <f>SUMIF(Tracker!$U$9:$U$406, A104, Tracker!$H$9:$H$406)+SUMIF(Tracker!$U$9:$U$406, A104, Tracker!$I$9:$I$406)</f>
        <v>25438.166261455022</v>
      </c>
      <c r="C104" s="8">
        <f>SUMIF(Tracker!$U$9:$U$406, A104, Tracker!$J$9:$J$406)</f>
        <v>113.17388255096316</v>
      </c>
      <c r="E104" s="8" t="s">
        <v>47</v>
      </c>
      <c r="F104" s="93">
        <f>SUMIF(Tracker!$U$9:$U$406, E104, Tracker!$H$9:$H$406)+SUMIF(Tracker!$U$9:$U$406, E104, Tracker!$I$9:$I$406)</f>
        <v>18687.787544417428</v>
      </c>
      <c r="G104" s="8">
        <f>SUMIF(Tracker!$U$9:$U$406, E104, Tracker!$J$9:$J$406)</f>
        <v>95.646156723396302</v>
      </c>
      <c r="H104" s="49">
        <f>80*((F104/52000)+(G104/210))/2</f>
        <v>32.593536754374604</v>
      </c>
      <c r="I104" s="8">
        <f>H104*(21600/VLOOKUP(E104, Tracker!$U$9:$W$406, 3, FALSE))</f>
        <v>39.112244105249523</v>
      </c>
    </row>
    <row r="105" spans="1:9" ht="25" customHeight="1" x14ac:dyDescent="0.35">
      <c r="A105" s="8" t="s">
        <v>27</v>
      </c>
      <c r="B105" s="93">
        <f>SUMIF(Tracker!$U$9:$U$406, A105, Tracker!$H$9:$H$406)+SUMIF(Tracker!$U$9:$U$406, A105, Tracker!$I$9:$I$406)</f>
        <v>25256.031419487565</v>
      </c>
      <c r="C105" s="8">
        <f>SUMIF(Tracker!$U$9:$U$406, A105, Tracker!$J$9:$J$406)</f>
        <v>112.36356835608753</v>
      </c>
      <c r="E105" s="8" t="s">
        <v>50</v>
      </c>
      <c r="F105" s="93">
        <f>SUMIF(Tracker!$U$9:$U$406, E105, Tracker!$H$9:$H$406)+SUMIF(Tracker!$U$9:$U$406, E105, Tracker!$I$9:$I$406)</f>
        <v>18687.787544417428</v>
      </c>
      <c r="G105" s="8">
        <f>SUMIF(Tracker!$U$9:$U$406, E105, Tracker!$J$9:$J$406)</f>
        <v>95.646156723396302</v>
      </c>
      <c r="H105" s="49">
        <f>80*((F105/52000)+(G105/210))/2</f>
        <v>32.593536754374604</v>
      </c>
      <c r="I105" s="8">
        <f>H105*(21600/VLOOKUP(E105, Tracker!$U$9:$W$406, 3, FALSE))</f>
        <v>39.112244105249523</v>
      </c>
    </row>
    <row r="106" spans="1:9" ht="25" customHeight="1" x14ac:dyDescent="0.35">
      <c r="A106" s="8" t="s">
        <v>42</v>
      </c>
      <c r="B106" s="93">
        <f>SUMIF(Tracker!$U$9:$U$406, A106, Tracker!$H$9:$H$406)+SUMIF(Tracker!$U$9:$U$406, A106, Tracker!$I$9:$I$406)</f>
        <v>24600</v>
      </c>
      <c r="C106" s="8">
        <f>SUMIF(Tracker!$U$9:$U$406, A106, Tracker!$J$9:$J$406)</f>
        <v>109</v>
      </c>
      <c r="E106" s="8" t="s">
        <v>36</v>
      </c>
      <c r="F106" s="93">
        <f>SUMIF(Tracker!$U$9:$U$406, E106, Tracker!$H$9:$H$406)+SUMIF(Tracker!$U$9:$U$406, E106, Tracker!$I$9:$I$406)</f>
        <v>24000.561062277913</v>
      </c>
      <c r="G106" s="8">
        <f>SUMIF(Tracker!$U$9:$U$406, E106, Tracker!$J$9:$J$406)</f>
        <v>85.716289508135404</v>
      </c>
      <c r="H106" s="49">
        <f>80*((F106/52000)+(G106/210))/2</f>
        <v>34.788882335169973</v>
      </c>
      <c r="I106" s="8">
        <f>H106*(21600/VLOOKUP(E106, Tracker!$U$9:$W$406, 3, FALSE))</f>
        <v>37.571992921983572</v>
      </c>
    </row>
    <row r="107" spans="1:9" ht="25" customHeight="1" x14ac:dyDescent="0.35">
      <c r="A107" s="8" t="s">
        <v>36</v>
      </c>
      <c r="B107" s="93">
        <f>SUMIF(Tracker!$U$9:$U$406, A107, Tracker!$H$9:$H$406)+SUMIF(Tracker!$U$9:$U$406, A107, Tracker!$I$9:$I$406)</f>
        <v>24000.561062277913</v>
      </c>
      <c r="C107" s="8">
        <f>SUMIF(Tracker!$U$9:$U$406, A107, Tracker!$J$9:$J$406)</f>
        <v>85.716289508135404</v>
      </c>
      <c r="E107" s="8" t="s">
        <v>65</v>
      </c>
      <c r="F107" s="93">
        <f>SUMIF(Tracker!$U$9:$U$406, E107, Tracker!$H$9:$H$406)+SUMIF(Tracker!$U$9:$U$406, E107, Tracker!$I$9:$I$406)</f>
        <v>18025.621844024685</v>
      </c>
      <c r="G107" s="8">
        <f>SUMIF(Tracker!$U$9:$U$406, E107, Tracker!$J$9:$J$406)</f>
        <v>80.195623714232283</v>
      </c>
      <c r="H107" s="49">
        <f>80*((F107/52000)+(G107/210))/2</f>
        <v>29.141219854891069</v>
      </c>
      <c r="I107" s="8">
        <f>H107*(21600/VLOOKUP(E107, Tracker!$U$9:$W$406, 3, FALSE))</f>
        <v>34.969463825869283</v>
      </c>
    </row>
    <row r="108" spans="1:9" ht="25" customHeight="1" x14ac:dyDescent="0.35">
      <c r="A108" s="8" t="s">
        <v>33</v>
      </c>
      <c r="B108" s="93">
        <f>SUMIF(Tracker!$U$9:$U$406, A108, Tracker!$H$9:$H$406)+SUMIF(Tracker!$U$9:$U$406, A108, Tracker!$I$9:$I$406)</f>
        <v>23886.272676267068</v>
      </c>
      <c r="C108" s="8">
        <f>SUMIF(Tracker!$U$9:$U$406, A108, Tracker!$J$9:$J$406)</f>
        <v>85.716289508135404</v>
      </c>
      <c r="E108" s="8" t="s">
        <v>56</v>
      </c>
      <c r="F108" s="93">
        <f>SUMIF(Tracker!$U$9:$U$406, E108, Tracker!$H$9:$H$406)+SUMIF(Tracker!$U$9:$U$406, E108, Tracker!$I$9:$I$406)</f>
        <v>18025.621844024685</v>
      </c>
      <c r="G108" s="8">
        <f>SUMIF(Tracker!$U$9:$U$406, E108, Tracker!$J$9:$J$406)</f>
        <v>80.195623714232283</v>
      </c>
      <c r="H108" s="49">
        <f>80*((F108/52000)+(G108/210))/2</f>
        <v>29.141219854891069</v>
      </c>
      <c r="I108" s="8">
        <f>H108*(21600/VLOOKUP(E108, Tracker!$U$9:$W$406, 3, FALSE))</f>
        <v>34.969463825869283</v>
      </c>
    </row>
    <row r="109" spans="1:9" ht="25" customHeight="1" x14ac:dyDescent="0.35">
      <c r="A109" s="8" t="s">
        <v>81</v>
      </c>
      <c r="B109" s="93">
        <f>SUMIF(Tracker!$U$9:$U$406, A109, Tracker!$H$9:$H$406)+SUMIF(Tracker!$U$9:$U$406, A109, Tracker!$I$9:$I$406)</f>
        <v>20900</v>
      </c>
      <c r="C109" s="8">
        <f>SUMIF(Tracker!$U$9:$U$406, A109, Tracker!$J$9:$J$406)</f>
        <v>75</v>
      </c>
      <c r="E109" s="8" t="s">
        <v>33</v>
      </c>
      <c r="F109" s="93">
        <f>SUMIF(Tracker!$U$9:$U$406, E109, Tracker!$H$9:$H$406)+SUMIF(Tracker!$U$9:$U$406, E109, Tracker!$I$9:$I$406)</f>
        <v>23886.272676267068</v>
      </c>
      <c r="G109" s="8">
        <f>SUMIF(Tracker!$U$9:$U$406, E109, Tracker!$J$9:$J$406)</f>
        <v>85.716289508135404</v>
      </c>
      <c r="H109" s="49">
        <f>80*((F109/52000)+(G109/210))/2</f>
        <v>34.700968192084709</v>
      </c>
      <c r="I109" s="8">
        <f>H109*(21600/VLOOKUP(E109, Tracker!$U$9:$W$406, 3, FALSE))</f>
        <v>34.070041497683171</v>
      </c>
    </row>
    <row r="110" spans="1:9" ht="25" customHeight="1" x14ac:dyDescent="0.35">
      <c r="A110" s="8" t="s">
        <v>85</v>
      </c>
      <c r="B110" s="93">
        <f>SUMIF(Tracker!$U$9:$U$406, A110, Tracker!$H$9:$H$406)+SUMIF(Tracker!$U$9:$U$406, A110, Tracker!$I$9:$I$406)</f>
        <v>19705.881802880118</v>
      </c>
      <c r="C110" s="8">
        <f>SUMIF(Tracker!$U$9:$U$406, A110, Tracker!$J$9:$J$406)</f>
        <v>70.714886852440614</v>
      </c>
      <c r="E110" s="8" t="s">
        <v>81</v>
      </c>
      <c r="F110" s="93">
        <f>SUMIF(Tracker!$U$9:$U$406, E110, Tracker!$H$9:$H$406)+SUMIF(Tracker!$U$9:$U$406, E110, Tracker!$I$9:$I$406)</f>
        <v>20900</v>
      </c>
      <c r="G110" s="8">
        <f>SUMIF(Tracker!$U$9:$U$406, E110, Tracker!$J$9:$J$406)</f>
        <v>75</v>
      </c>
      <c r="H110" s="49">
        <f>80*((F110/52000)+(G110/210))/2</f>
        <v>30.362637362637361</v>
      </c>
      <c r="I110" s="8">
        <f>H110*(21600/VLOOKUP(E110, Tracker!$U$9:$W$406, 3, FALSE))</f>
        <v>32.791648351648355</v>
      </c>
    </row>
    <row r="111" spans="1:9" ht="25" customHeight="1" x14ac:dyDescent="0.35">
      <c r="A111" s="8" t="s">
        <v>58</v>
      </c>
      <c r="B111" s="93">
        <f>SUMIF(Tracker!$U$9:$U$406, A111, Tracker!$H$9:$H$406)+SUMIF(Tracker!$U$9:$U$406, A111, Tracker!$I$9:$I$406)</f>
        <v>19407.840845333834</v>
      </c>
      <c r="C111" s="8">
        <f>SUMIF(Tracker!$U$9:$U$406, A111, Tracker!$J$9:$J$406)</f>
        <v>69.645361885169251</v>
      </c>
      <c r="E111" s="8" t="s">
        <v>22</v>
      </c>
      <c r="F111" s="93">
        <f>SUMIF(Tracker!$U$9:$U$406, E111, Tracker!$H$9:$H$406)+SUMIF(Tracker!$U$9:$U$406, E111, Tracker!$I$9:$I$406)</f>
        <v>16123.527211520481</v>
      </c>
      <c r="G111" s="8">
        <f>SUMIF(Tracker!$U$9:$U$406, E111, Tracker!$J$9:$J$406)</f>
        <v>57.859547409762484</v>
      </c>
      <c r="H111" s="49">
        <f>80*((F111/52000)+(G111/210))/2</f>
        <v>23.423579412919231</v>
      </c>
      <c r="I111" s="8">
        <f>H111*(21600/VLOOKUP(E111, Tracker!$U$9:$W$406, 3, FALSE))</f>
        <v>31.621832207440963</v>
      </c>
    </row>
    <row r="112" spans="1:9" ht="25" customHeight="1" x14ac:dyDescent="0.35">
      <c r="A112" s="8" t="s">
        <v>47</v>
      </c>
      <c r="B112" s="93">
        <f>SUMIF(Tracker!$U$9:$U$406, A112, Tracker!$H$9:$H$406)+SUMIF(Tracker!$U$9:$U$406, A112, Tracker!$I$9:$I$406)</f>
        <v>18687.787544417428</v>
      </c>
      <c r="C112" s="8">
        <f>SUMIF(Tracker!$U$9:$U$406, A112, Tracker!$J$9:$J$406)</f>
        <v>95.646156723396302</v>
      </c>
      <c r="E112" s="8" t="s">
        <v>85</v>
      </c>
      <c r="F112" s="93">
        <f>SUMIF(Tracker!$U$9:$U$406, E112, Tracker!$H$9:$H$406)+SUMIF(Tracker!$U$9:$U$406, E112, Tracker!$I$9:$I$406)</f>
        <v>19705.881802880118</v>
      </c>
      <c r="G112" s="8">
        <f>SUMIF(Tracker!$U$9:$U$406, E112, Tracker!$J$9:$J$406)</f>
        <v>70.714886852440614</v>
      </c>
      <c r="H112" s="49">
        <f>80*((F112/52000)+(G112/210))/2</f>
        <v>28.627872875207821</v>
      </c>
      <c r="I112" s="8">
        <f>H112*(21600/VLOOKUP(E112, Tracker!$U$9:$W$406, 3, FALSE))</f>
        <v>30.918102705224449</v>
      </c>
    </row>
    <row r="113" spans="1:9" ht="25" customHeight="1" x14ac:dyDescent="0.35">
      <c r="A113" s="8" t="s">
        <v>50</v>
      </c>
      <c r="B113" s="93">
        <f>SUMIF(Tracker!$U$9:$U$406, A113, Tracker!$H$9:$H$406)+SUMIF(Tracker!$U$9:$U$406, A113, Tracker!$I$9:$I$406)</f>
        <v>18687.787544417428</v>
      </c>
      <c r="C113" s="8">
        <f>SUMIF(Tracker!$U$9:$U$406, A113, Tracker!$J$9:$J$406)</f>
        <v>95.646156723396302</v>
      </c>
      <c r="E113" s="8" t="s">
        <v>16</v>
      </c>
      <c r="F113" s="93">
        <f>SUMIF(Tracker!$U$9:$U$406, E113, Tracker!$H$9:$H$406)+SUMIF(Tracker!$U$9:$U$406, E113, Tracker!$I$9:$I$406)</f>
        <v>39260</v>
      </c>
      <c r="G113" s="8">
        <f>SUMIF(Tracker!$U$9:$U$406, E113, Tracker!$J$9:$J$406)</f>
        <v>156</v>
      </c>
      <c r="H113" s="49">
        <f>80*((F113/52000)+(G113/210))/2</f>
        <v>59.914285714285711</v>
      </c>
      <c r="I113" s="8">
        <f>H113*(21600/VLOOKUP(E113, Tracker!$U$9:$W$406, 3, FALSE))</f>
        <v>30.81306122448979</v>
      </c>
    </row>
    <row r="114" spans="1:9" ht="25" customHeight="1" x14ac:dyDescent="0.35">
      <c r="A114" s="8" t="s">
        <v>65</v>
      </c>
      <c r="B114" s="93">
        <f>SUMIF(Tracker!$U$9:$U$406, A114, Tracker!$H$9:$H$406)+SUMIF(Tracker!$U$9:$U$406, A114, Tracker!$I$9:$I$406)</f>
        <v>18025.621844024685</v>
      </c>
      <c r="C114" s="8">
        <f>SUMIF(Tracker!$U$9:$U$406, A114, Tracker!$J$9:$J$406)</f>
        <v>80.195623714232283</v>
      </c>
      <c r="E114" s="8" t="s">
        <v>58</v>
      </c>
      <c r="F114" s="93">
        <f>SUMIF(Tracker!$U$9:$U$406, E114, Tracker!$H$9:$H$406)+SUMIF(Tracker!$U$9:$U$406, E114, Tracker!$I$9:$I$406)</f>
        <v>19407.840845333834</v>
      </c>
      <c r="G114" s="8">
        <f>SUMIF(Tracker!$U$9:$U$406, E114, Tracker!$J$9:$J$406)</f>
        <v>69.645361885169251</v>
      </c>
      <c r="H114" s="49">
        <f>80*((F114/52000)+(G114/210))/2</f>
        <v>28.194891558787205</v>
      </c>
      <c r="I114" s="8">
        <f>H114*(21600/VLOOKUP(E114, Tracker!$U$9:$W$406, 3, FALSE))</f>
        <v>30.450482883490185</v>
      </c>
    </row>
    <row r="115" spans="1:9" ht="25" customHeight="1" x14ac:dyDescent="0.35">
      <c r="A115" s="8" t="s">
        <v>56</v>
      </c>
      <c r="B115" s="93">
        <f>SUMIF(Tracker!$U$9:$U$406, A115, Tracker!$H$9:$H$406)+SUMIF(Tracker!$U$9:$U$406, A115, Tracker!$I$9:$I$406)</f>
        <v>18025.621844024685</v>
      </c>
      <c r="C115" s="8">
        <f>SUMIF(Tracker!$U$9:$U$406, A115, Tracker!$J$9:$J$406)</f>
        <v>80.195623714232283</v>
      </c>
      <c r="E115" s="8" t="s">
        <v>18</v>
      </c>
      <c r="F115" s="93">
        <f>SUMIF(Tracker!$U$9:$U$406, E115, Tracker!$H$9:$H$406)+SUMIF(Tracker!$U$9:$U$406, E115, Tracker!$I$9:$I$406)</f>
        <v>27170</v>
      </c>
      <c r="G115" s="8">
        <f>SUMIF(Tracker!$U$9:$U$406, E115, Tracker!$J$9:$J$406)</f>
        <v>97.5</v>
      </c>
      <c r="H115" s="49">
        <f>80*((F115/52000)+(G115/210))/2</f>
        <v>39.471428571428568</v>
      </c>
      <c r="I115" s="8">
        <f>H115*(21600/VLOOKUP(E115, Tracker!$U$9:$W$406, 3, FALSE))</f>
        <v>26.643214285714286</v>
      </c>
    </row>
    <row r="116" spans="1:9" ht="25" customHeight="1" x14ac:dyDescent="0.35">
      <c r="A116" s="8" t="s">
        <v>22</v>
      </c>
      <c r="B116" s="93">
        <f>SUMIF(Tracker!$U$9:$U$406, A116, Tracker!$H$9:$H$406)+SUMIF(Tracker!$U$9:$U$406, A116, Tracker!$I$9:$I$406)</f>
        <v>16123.527211520481</v>
      </c>
      <c r="C116" s="8">
        <f>SUMIF(Tracker!$U$9:$U$406, A116, Tracker!$J$9:$J$406)</f>
        <v>57.859547409762484</v>
      </c>
      <c r="E116" s="8" t="s">
        <v>19</v>
      </c>
      <c r="F116" s="93">
        <f>SUMIF(Tracker!$U$9:$U$406, E116, Tracker!$H$9:$H$406)+SUMIF(Tracker!$U$9:$U$406, E116, Tracker!$I$9:$I$406)</f>
        <v>27170</v>
      </c>
      <c r="G116" s="8">
        <f>SUMIF(Tracker!$U$9:$U$406, E116, Tracker!$J$9:$J$406)</f>
        <v>97.5</v>
      </c>
      <c r="H116" s="49">
        <f>80*((F116/52000)+(G116/210))/2</f>
        <v>39.471428571428568</v>
      </c>
      <c r="I116" s="8">
        <f>H116*(21600/VLOOKUP(E116, Tracker!$U$9:$W$406, 3, FALSE))</f>
        <v>26.643214285714286</v>
      </c>
    </row>
    <row r="117" spans="1:9" ht="25" customHeight="1" x14ac:dyDescent="0.35">
      <c r="A117" s="8" t="s">
        <v>28</v>
      </c>
      <c r="B117" s="93">
        <f>SUMIF(Tracker!$U$9:$U$406, A117, Tracker!$H$9:$H$406)+SUMIF(Tracker!$U$9:$U$406, A117, Tracker!$I$9:$I$406)</f>
        <v>15669.048064335142</v>
      </c>
      <c r="C117" s="8">
        <f>SUMIF(Tracker!$U$9:$U$406, A117, Tracker!$J$9:$J$406)</f>
        <v>65.974939218253226</v>
      </c>
      <c r="E117" s="8" t="s">
        <v>28</v>
      </c>
      <c r="F117" s="93">
        <f>SUMIF(Tracker!$U$9:$U$406, E117, Tracker!$H$9:$H$406)+SUMIF(Tracker!$U$9:$U$406, E117, Tracker!$I$9:$I$406)</f>
        <v>15669.048064335142</v>
      </c>
      <c r="G117" s="8">
        <f>SUMIF(Tracker!$U$9:$U$406, E117, Tracker!$J$9:$J$406)</f>
        <v>65.974939218253226</v>
      </c>
      <c r="H117" s="49">
        <f>80*((F117/52000)+(G117/210))/2</f>
        <v>24.619768984833506</v>
      </c>
      <c r="I117" s="8">
        <f>H117*(21600/VLOOKUP(E117, Tracker!$U$9:$W$406, 3, FALSE))</f>
        <v>26.589350503620189</v>
      </c>
    </row>
    <row r="118" spans="1:9" ht="25" customHeight="1" x14ac:dyDescent="0.35">
      <c r="A118" s="8" t="s">
        <v>29</v>
      </c>
      <c r="B118" s="93">
        <f>SUMIF(Tracker!$U$9:$U$406, A118, Tracker!$H$9:$H$406)+SUMIF(Tracker!$U$9:$U$406, A118, Tracker!$I$9:$I$406)</f>
        <v>15669.048064335142</v>
      </c>
      <c r="C118" s="8">
        <f>SUMIF(Tracker!$U$9:$U$406, A118, Tracker!$J$9:$J$406)</f>
        <v>65.974939218253226</v>
      </c>
      <c r="E118" s="8" t="s">
        <v>29</v>
      </c>
      <c r="F118" s="93">
        <f>SUMIF(Tracker!$U$9:$U$406, E118, Tracker!$H$9:$H$406)+SUMIF(Tracker!$U$9:$U$406, E118, Tracker!$I$9:$I$406)</f>
        <v>15669.048064335142</v>
      </c>
      <c r="G118" s="8">
        <f>SUMIF(Tracker!$U$9:$U$406, E118, Tracker!$J$9:$J$406)</f>
        <v>65.974939218253226</v>
      </c>
      <c r="H118" s="49">
        <f>80*((F118/52000)+(G118/210))/2</f>
        <v>24.619768984833506</v>
      </c>
      <c r="I118" s="8">
        <f>H118*(21600/VLOOKUP(E118, Tracker!$U$9:$W$406, 3, FALSE))</f>
        <v>26.589350503620189</v>
      </c>
    </row>
    <row r="119" spans="1:9" ht="25" customHeight="1" x14ac:dyDescent="0.35">
      <c r="A119" s="8" t="s">
        <v>60</v>
      </c>
      <c r="B119" s="93">
        <f>SUMIF(Tracker!$U$9:$U$406, A119, Tracker!$H$9:$H$406)+SUMIF(Tracker!$U$9:$U$406, A119, Tracker!$I$9:$I$406)</f>
        <v>14114.79334206097</v>
      </c>
      <c r="C119" s="8">
        <f>SUMIF(Tracker!$U$9:$U$406, A119, Tracker!$J$9:$J$406)</f>
        <v>59.430708808677764</v>
      </c>
      <c r="E119" s="8" t="s">
        <v>20</v>
      </c>
      <c r="F119" s="93">
        <f>SUMIF(Tracker!$U$9:$U$406, E119, Tracker!$H$9:$H$406)+SUMIF(Tracker!$U$9:$U$406, E119, Tracker!$I$9:$I$406)</f>
        <v>11726.201608378531</v>
      </c>
      <c r="G119" s="8">
        <f>SUMIF(Tracker!$U$9:$U$406, E119, Tracker!$J$9:$J$406)</f>
        <v>49.373480456330654</v>
      </c>
      <c r="H119" s="49">
        <f>80*((F119/52000)+(G119/210))/2</f>
        <v>18.424627551240608</v>
      </c>
      <c r="I119" s="8">
        <f>H119*(21600/VLOOKUP(E119, Tracker!$U$9:$W$406, 3, FALSE))</f>
        <v>24.873247194174823</v>
      </c>
    </row>
    <row r="120" spans="1:9" ht="25" customHeight="1" x14ac:dyDescent="0.35">
      <c r="A120" s="8" t="s">
        <v>80</v>
      </c>
      <c r="B120" s="93">
        <f>SUMIF(Tracker!$U$9:$U$406, A120, Tracker!$H$9:$H$406)+SUMIF(Tracker!$U$9:$U$406, A120, Tracker!$I$9:$I$406)</f>
        <v>14114.79334206097</v>
      </c>
      <c r="C120" s="8">
        <f>SUMIF(Tracker!$U$9:$U$406, A120, Tracker!$J$9:$J$406)</f>
        <v>59.430708808677764</v>
      </c>
      <c r="E120" s="8" t="s">
        <v>23</v>
      </c>
      <c r="F120" s="93">
        <f>SUMIF(Tracker!$U$9:$U$406, E120, Tracker!$H$9:$H$406)+SUMIF(Tracker!$U$9:$U$406, E120, Tracker!$I$9:$I$406)</f>
        <v>11726.201608378531</v>
      </c>
      <c r="G120" s="8">
        <f>SUMIF(Tracker!$U$9:$U$406, E120, Tracker!$J$9:$J$406)</f>
        <v>49.373480456330654</v>
      </c>
      <c r="H120" s="49">
        <f>80*((F120/52000)+(G120/210))/2</f>
        <v>18.424627551240608</v>
      </c>
      <c r="I120" s="8">
        <f>H120*(21600/VLOOKUP(E120, Tracker!$U$9:$W$406, 3, FALSE))</f>
        <v>24.873247194174823</v>
      </c>
    </row>
    <row r="121" spans="1:9" ht="25" customHeight="1" x14ac:dyDescent="0.35">
      <c r="A121" s="8" t="s">
        <v>37</v>
      </c>
      <c r="B121" s="93">
        <f>SUMIF(Tracker!$U$9:$U$406, A121, Tracker!$H$9:$H$406)+SUMIF(Tracker!$U$9:$U$406, A121, Tracker!$I$9:$I$406)</f>
        <v>13910</v>
      </c>
      <c r="C121" s="8">
        <f>SUMIF(Tracker!$U$9:$U$406, A121, Tracker!$J$9:$J$406)</f>
        <v>14.3</v>
      </c>
      <c r="E121" s="8" t="s">
        <v>24</v>
      </c>
      <c r="F121" s="93">
        <f>SUMIF(Tracker!$U$9:$U$406, E121, Tracker!$H$9:$H$406)+SUMIF(Tracker!$U$9:$U$406, E121, Tracker!$I$9:$I$406)</f>
        <v>11726.201608378531</v>
      </c>
      <c r="G121" s="8">
        <f>SUMIF(Tracker!$U$9:$U$406, E121, Tracker!$J$9:$J$406)</f>
        <v>49.373480456330654</v>
      </c>
      <c r="H121" s="49">
        <f>80*((F121/52000)+(G121/210))/2</f>
        <v>18.424627551240608</v>
      </c>
      <c r="I121" s="8">
        <f>H121*(21600/VLOOKUP(E121, Tracker!$U$9:$W$406, 3, FALSE))</f>
        <v>24.873247194174823</v>
      </c>
    </row>
    <row r="122" spans="1:9" ht="25" customHeight="1" x14ac:dyDescent="0.35">
      <c r="A122" s="8" t="s">
        <v>91</v>
      </c>
      <c r="B122" s="93">
        <f>SUMIF(Tracker!$U$9:$U$406, A122, Tracker!$H$9:$H$406)+SUMIF(Tracker!$U$9:$U$406, A122, Tracker!$I$9:$I$406)</f>
        <v>13028.876005236581</v>
      </c>
      <c r="C122" s="8">
        <f>SUMIF(Tracker!$U$9:$U$406, A122, Tracker!$J$9:$J$406)</f>
        <v>54.858425285206657</v>
      </c>
      <c r="E122" s="8" t="s">
        <v>25</v>
      </c>
      <c r="F122" s="93">
        <f>SUMIF(Tracker!$U$9:$U$406, E122, Tracker!$H$9:$H$406)+SUMIF(Tracker!$U$9:$U$406, E122, Tracker!$I$9:$I$406)</f>
        <v>11726.201608378531</v>
      </c>
      <c r="G122" s="8">
        <f>SUMIF(Tracker!$U$9:$U$406, E122, Tracker!$J$9:$J$406)</f>
        <v>49.373480456330654</v>
      </c>
      <c r="H122" s="49">
        <f>80*((F122/52000)+(G122/210))/2</f>
        <v>18.424627551240608</v>
      </c>
      <c r="I122" s="8">
        <f>H122*(21600/VLOOKUP(E122, Tracker!$U$9:$W$406, 3, FALSE))</f>
        <v>24.873247194174823</v>
      </c>
    </row>
    <row r="123" spans="1:9" ht="25" customHeight="1" x14ac:dyDescent="0.35">
      <c r="A123" s="8" t="s">
        <v>90</v>
      </c>
      <c r="B123" s="93">
        <f>SUMIF(Tracker!$U$9:$U$406, A123, Tracker!$H$9:$H$406)+SUMIF(Tracker!$U$9:$U$406, A123, Tracker!$I$9:$I$406)</f>
        <v>13028.876005236581</v>
      </c>
      <c r="C123" s="8">
        <f>SUMIF(Tracker!$U$9:$U$406, A123, Tracker!$J$9:$J$406)</f>
        <v>54.858425285206657</v>
      </c>
      <c r="E123" s="8" t="s">
        <v>26</v>
      </c>
      <c r="F123" s="93">
        <f>SUMIF(Tracker!$U$9:$U$406, E123, Tracker!$H$9:$H$406)+SUMIF(Tracker!$U$9:$U$406, E123, Tracker!$I$9:$I$406)</f>
        <v>11726.201608378531</v>
      </c>
      <c r="G123" s="8">
        <f>SUMIF(Tracker!$U$9:$U$406, E123, Tracker!$J$9:$J$406)</f>
        <v>49.373480456330654</v>
      </c>
      <c r="H123" s="49">
        <f>80*((F123/52000)+(G123/210))/2</f>
        <v>18.424627551240608</v>
      </c>
      <c r="I123" s="8">
        <f>H123*(21600/VLOOKUP(E123, Tracker!$U$9:$W$406, 3, FALSE))</f>
        <v>24.873247194174823</v>
      </c>
    </row>
    <row r="124" spans="1:9" ht="25" customHeight="1" x14ac:dyDescent="0.35">
      <c r="A124" s="8" t="s">
        <v>20</v>
      </c>
      <c r="B124" s="93">
        <f>SUMIF(Tracker!$U$9:$U$406, A124, Tracker!$H$9:$H$406)+SUMIF(Tracker!$U$9:$U$406, A124, Tracker!$I$9:$I$406)</f>
        <v>11726.201608378531</v>
      </c>
      <c r="C124" s="8">
        <f>SUMIF(Tracker!$U$9:$U$406, A124, Tracker!$J$9:$J$406)</f>
        <v>49.373480456330654</v>
      </c>
      <c r="E124" s="8" t="s">
        <v>15</v>
      </c>
      <c r="F124" s="93">
        <f>SUMIF(Tracker!$U$9:$U$406, E124, Tracker!$H$9:$H$406)+SUMIF(Tracker!$U$9:$U$406, E124, Tracker!$I$9:$I$406)</f>
        <v>7817.4677389190201</v>
      </c>
      <c r="G124" s="8">
        <f>SUMIF(Tracker!$U$9:$U$406, E124, Tracker!$J$9:$J$406)</f>
        <v>32.915653637553767</v>
      </c>
      <c r="H124" s="49">
        <f>80*((F124/52000)+(G124/210))/2</f>
        <v>12.283085034160404</v>
      </c>
      <c r="I124" s="8">
        <f>H124*(21600/VLOOKUP(E124, Tracker!$U$9:$W$406, 3, FALSE))</f>
        <v>24.119512430714977</v>
      </c>
    </row>
    <row r="125" spans="1:9" ht="25" customHeight="1" x14ac:dyDescent="0.35">
      <c r="A125" s="8" t="s">
        <v>23</v>
      </c>
      <c r="B125" s="93">
        <f>SUMIF(Tracker!$U$9:$U$406, A125, Tracker!$H$9:$H$406)+SUMIF(Tracker!$U$9:$U$406, A125, Tracker!$I$9:$I$406)</f>
        <v>11726.201608378531</v>
      </c>
      <c r="C125" s="8">
        <f>SUMIF(Tracker!$U$9:$U$406, A125, Tracker!$J$9:$J$406)</f>
        <v>49.373480456330654</v>
      </c>
      <c r="E125" s="8" t="s">
        <v>60</v>
      </c>
      <c r="F125" s="93">
        <f>SUMIF(Tracker!$U$9:$U$406, E125, Tracker!$H$9:$H$406)+SUMIF(Tracker!$U$9:$U$406, E125, Tracker!$I$9:$I$406)</f>
        <v>14114.79334206097</v>
      </c>
      <c r="G125" s="8">
        <f>SUMIF(Tracker!$U$9:$U$406, E125, Tracker!$J$9:$J$406)</f>
        <v>59.430708808677764</v>
      </c>
      <c r="H125" s="49">
        <f>80*((F125/52000)+(G125/210))/2</f>
        <v>22.177668351223616</v>
      </c>
      <c r="I125" s="8">
        <f>H125*(21600/VLOOKUP(E125, Tracker!$U$9:$W$406, 3, FALSE))</f>
        <v>23.951881819321507</v>
      </c>
    </row>
    <row r="126" spans="1:9" ht="25" customHeight="1" x14ac:dyDescent="0.35">
      <c r="A126" s="8" t="s">
        <v>24</v>
      </c>
      <c r="B126" s="93">
        <f>SUMIF(Tracker!$U$9:$U$406, A126, Tracker!$H$9:$H$406)+SUMIF(Tracker!$U$9:$U$406, A126, Tracker!$I$9:$I$406)</f>
        <v>11726.201608378531</v>
      </c>
      <c r="C126" s="8">
        <f>SUMIF(Tracker!$U$9:$U$406, A126, Tracker!$J$9:$J$406)</f>
        <v>49.373480456330654</v>
      </c>
      <c r="E126" s="8" t="s">
        <v>80</v>
      </c>
      <c r="F126" s="93">
        <f>SUMIF(Tracker!$U$9:$U$406, E126, Tracker!$H$9:$H$406)+SUMIF(Tracker!$U$9:$U$406, E126, Tracker!$I$9:$I$406)</f>
        <v>14114.79334206097</v>
      </c>
      <c r="G126" s="8">
        <f>SUMIF(Tracker!$U$9:$U$406, E126, Tracker!$J$9:$J$406)</f>
        <v>59.430708808677764</v>
      </c>
      <c r="H126" s="49">
        <f>80*((F126/52000)+(G126/210))/2</f>
        <v>22.177668351223616</v>
      </c>
      <c r="I126" s="8">
        <f>H126*(21600/VLOOKUP(E126, Tracker!$U$9:$W$406, 3, FALSE))</f>
        <v>23.951881819321507</v>
      </c>
    </row>
    <row r="127" spans="1:9" ht="25" customHeight="1" x14ac:dyDescent="0.35">
      <c r="A127" s="8" t="s">
        <v>25</v>
      </c>
      <c r="B127" s="93">
        <f>SUMIF(Tracker!$U$9:$U$406, A127, Tracker!$H$9:$H$406)+SUMIF(Tracker!$U$9:$U$406, A127, Tracker!$I$9:$I$406)</f>
        <v>11726.201608378531</v>
      </c>
      <c r="C127" s="8">
        <f>SUMIF(Tracker!$U$9:$U$406, A127, Tracker!$J$9:$J$406)</f>
        <v>49.373480456330654</v>
      </c>
      <c r="E127" s="8" t="s">
        <v>91</v>
      </c>
      <c r="F127" s="93">
        <f>SUMIF(Tracker!$U$9:$U$406, E127, Tracker!$H$9:$H$406)+SUMIF(Tracker!$U$9:$U$406, E127, Tracker!$I$9:$I$406)</f>
        <v>13028.876005236581</v>
      </c>
      <c r="G127" s="8">
        <f>SUMIF(Tracker!$U$9:$U$406, E127, Tracker!$J$9:$J$406)</f>
        <v>54.858425285206657</v>
      </c>
      <c r="H127" s="49">
        <f>80*((F127/52000)+(G127/210))/2</f>
        <v>20.471436175569334</v>
      </c>
      <c r="I127" s="8">
        <f>H127*(21600/VLOOKUP(E127, Tracker!$U$9:$W$406, 3, FALSE))</f>
        <v>22.109151069614882</v>
      </c>
    </row>
    <row r="128" spans="1:9" ht="25" customHeight="1" x14ac:dyDescent="0.35">
      <c r="A128" s="8" t="s">
        <v>26</v>
      </c>
      <c r="B128" s="93">
        <f>SUMIF(Tracker!$U$9:$U$406, A128, Tracker!$H$9:$H$406)+SUMIF(Tracker!$U$9:$U$406, A128, Tracker!$I$9:$I$406)</f>
        <v>11726.201608378531</v>
      </c>
      <c r="C128" s="8">
        <f>SUMIF(Tracker!$U$9:$U$406, A128, Tracker!$J$9:$J$406)</f>
        <v>49.373480456330654</v>
      </c>
      <c r="E128" s="8" t="s">
        <v>90</v>
      </c>
      <c r="F128" s="93">
        <f>SUMIF(Tracker!$U$9:$U$406, E128, Tracker!$H$9:$H$406)+SUMIF(Tracker!$U$9:$U$406, E128, Tracker!$I$9:$I$406)</f>
        <v>13028.876005236581</v>
      </c>
      <c r="G128" s="8">
        <f>SUMIF(Tracker!$U$9:$U$406, E128, Tracker!$J$9:$J$406)</f>
        <v>54.858425285206657</v>
      </c>
      <c r="H128" s="49">
        <f>80*((F128/52000)+(G128/210))/2</f>
        <v>20.471436175569334</v>
      </c>
      <c r="I128" s="8">
        <f>H128*(21600/VLOOKUP(E128, Tracker!$U$9:$W$406, 3, FALSE))</f>
        <v>22.109151069614882</v>
      </c>
    </row>
    <row r="129" spans="1:9" ht="25" customHeight="1" x14ac:dyDescent="0.35">
      <c r="A129" s="8" t="s">
        <v>97</v>
      </c>
      <c r="B129" s="93">
        <f>SUMIF(Tracker!$U$9:$U$406, A129, Tracker!$H$9:$H$406)+SUMIF(Tracker!$U$9:$U$406, A129, Tracker!$I$9:$I$406)</f>
        <v>10628.819899008789</v>
      </c>
      <c r="C129" s="8">
        <f>SUMIF(Tracker!$U$9:$U$406, A129, Tracker!$J$9:$J$406)</f>
        <v>51.429773704881242</v>
      </c>
      <c r="E129" s="8" t="s">
        <v>97</v>
      </c>
      <c r="F129" s="93">
        <f>SUMIF(Tracker!$U$9:$U$406, E129, Tracker!$H$9:$H$406)+SUMIF(Tracker!$U$9:$U$406, E129, Tracker!$I$9:$I$406)</f>
        <v>10628.819899008789</v>
      </c>
      <c r="G129" s="8">
        <f>SUMIF(Tracker!$U$9:$U$406, E129, Tracker!$J$9:$J$406)</f>
        <v>51.429773704881242</v>
      </c>
      <c r="H129" s="49">
        <f>80*((F129/52000)+(G129/210))/2</f>
        <v>17.972162679288171</v>
      </c>
      <c r="I129" s="8">
        <f>H129*(21600/VLOOKUP(E129, Tracker!$U$9:$W$406, 3, FALSE))</f>
        <v>19.409935693631226</v>
      </c>
    </row>
    <row r="130" spans="1:9" ht="25" customHeight="1" x14ac:dyDescent="0.35">
      <c r="A130" s="8" t="s">
        <v>99</v>
      </c>
      <c r="B130" s="93">
        <f>SUMIF(Tracker!$U$9:$U$406, A130, Tracker!$H$9:$H$406)+SUMIF(Tracker!$U$9:$U$406, A130, Tracker!$I$9:$I$406)</f>
        <v>7971.6149242565925</v>
      </c>
      <c r="C130" s="8">
        <f>SUMIF(Tracker!$U$9:$U$406, A130, Tracker!$J$9:$J$406)</f>
        <v>38.572330278660928</v>
      </c>
      <c r="E130" s="8" t="s">
        <v>99</v>
      </c>
      <c r="F130" s="93">
        <f>SUMIF(Tracker!$U$9:$U$406, E130, Tracker!$H$9:$H$406)+SUMIF(Tracker!$U$9:$U$406, E130, Tracker!$I$9:$I$406)</f>
        <v>7971.6149242565925</v>
      </c>
      <c r="G130" s="8">
        <f>SUMIF(Tracker!$U$9:$U$406, E130, Tracker!$J$9:$J$406)</f>
        <v>38.572330278660928</v>
      </c>
      <c r="H130" s="49">
        <f>80*((F130/52000)+(G130/210))/2</f>
        <v>13.479122009466128</v>
      </c>
      <c r="I130" s="8">
        <f>H130*(21600/VLOOKUP(E130, Tracker!$U$9:$W$406, 3, FALSE))</f>
        <v>14.55745177022342</v>
      </c>
    </row>
    <row r="131" spans="1:9" ht="25" customHeight="1" x14ac:dyDescent="0.35">
      <c r="A131" s="8" t="s">
        <v>98</v>
      </c>
      <c r="B131" s="93">
        <f>SUMIF(Tracker!$U$9:$U$406, A131, Tracker!$H$9:$H$406)+SUMIF(Tracker!$U$9:$U$406, A131, Tracker!$I$9:$I$406)</f>
        <v>7971.6149242565925</v>
      </c>
      <c r="C131" s="8">
        <f>SUMIF(Tracker!$U$9:$U$406, A131, Tracker!$J$9:$J$406)</f>
        <v>38.572330278660928</v>
      </c>
      <c r="E131" s="8" t="s">
        <v>98</v>
      </c>
      <c r="F131" s="93">
        <f>SUMIF(Tracker!$U$9:$U$406, E131, Tracker!$H$9:$H$406)+SUMIF(Tracker!$U$9:$U$406, E131, Tracker!$I$9:$I$406)</f>
        <v>7971.6149242565925</v>
      </c>
      <c r="G131" s="8">
        <f>SUMIF(Tracker!$U$9:$U$406, E131, Tracker!$J$9:$J$406)</f>
        <v>38.572330278660928</v>
      </c>
      <c r="H131" s="49">
        <f>80*((F131/52000)+(G131/210))/2</f>
        <v>13.479122009466128</v>
      </c>
      <c r="I131" s="8">
        <f>H131*(21600/VLOOKUP(E131, Tracker!$U$9:$W$406, 3, FALSE))</f>
        <v>14.55745177022342</v>
      </c>
    </row>
    <row r="132" spans="1:9" ht="25" customHeight="1" x14ac:dyDescent="0.35">
      <c r="A132" s="8" t="s">
        <v>15</v>
      </c>
      <c r="B132" s="93">
        <f>SUMIF(Tracker!$U$9:$U$406, A132, Tracker!$H$9:$H$406)+SUMIF(Tracker!$U$9:$U$406, A132, Tracker!$I$9:$I$406)</f>
        <v>7817.4677389190201</v>
      </c>
      <c r="C132" s="8">
        <f>SUMIF(Tracker!$U$9:$U$406, A132, Tracker!$J$9:$J$406)</f>
        <v>32.915653637553767</v>
      </c>
      <c r="E132" s="8" t="s">
        <v>37</v>
      </c>
      <c r="F132" s="93">
        <f>SUMIF(Tracker!$U$9:$U$406, E132, Tracker!$H$9:$H$406)+SUMIF(Tracker!$U$9:$U$406, E132, Tracker!$I$9:$I$406)</f>
        <v>13910</v>
      </c>
      <c r="G132" s="8">
        <f>SUMIF(Tracker!$U$9:$U$406, E132, Tracker!$J$9:$J$406)</f>
        <v>14.3</v>
      </c>
      <c r="H132" s="49">
        <f>80*((F132/52000)+(G132/210))/2</f>
        <v>13.423809523809524</v>
      </c>
      <c r="I132" s="8">
        <f>H132*(21600/VLOOKUP(E132, Tracker!$U$9:$W$406, 3, FALSE))</f>
        <v>8.7864935064935068</v>
      </c>
    </row>
    <row r="133" spans="1:9" ht="25" customHeight="1" x14ac:dyDescent="0.35">
      <c r="A133" s="8" t="s">
        <v>39</v>
      </c>
      <c r="B133" s="93">
        <f>SUMIF(Tracker!$U$9:$U$406, A133, Tracker!$H$9:$H$406)+SUMIF(Tracker!$U$9:$U$406, A133, Tracker!$I$9:$I$406)</f>
        <v>7540</v>
      </c>
      <c r="C133" s="8">
        <f>SUMIF(Tracker!$U$9:$U$406, A133, Tracker!$J$9:$J$406)</f>
        <v>14.3</v>
      </c>
      <c r="E133" s="8" t="s">
        <v>39</v>
      </c>
      <c r="F133" s="93">
        <f>SUMIF(Tracker!$U$9:$U$406, E133, Tracker!$H$9:$H$406)+SUMIF(Tracker!$U$9:$U$406, E133, Tracker!$I$9:$I$406)</f>
        <v>7540</v>
      </c>
      <c r="G133" s="8">
        <f>SUMIF(Tracker!$U$9:$U$406, E133, Tracker!$J$9:$J$406)</f>
        <v>14.3</v>
      </c>
      <c r="H133" s="49">
        <f>80*((F133/52000)+(G133/210))/2</f>
        <v>8.5238095238095237</v>
      </c>
      <c r="I133" s="8">
        <f>H133*(21600/VLOOKUP(E133, Tracker!$U$9:$W$406, 3, FALSE))</f>
        <v>5.5792207792207789</v>
      </c>
    </row>
    <row r="134" spans="1:9" ht="25" customHeight="1" x14ac:dyDescent="0.35">
      <c r="A134" s="8" t="s">
        <v>88</v>
      </c>
      <c r="B134" s="93">
        <f>SUMIF(Tracker!$U$9:$U$406, A134, Tracker!$H$9:$H$406)+SUMIF(Tracker!$U$9:$U$406, A134, Tracker!$I$9:$I$406)</f>
        <v>128.57677202169441</v>
      </c>
      <c r="C134" s="8">
        <f>SUMIF(Tracker!$U$9:$U$406, A134, Tracker!$J$9:$J$406)</f>
        <v>0</v>
      </c>
      <c r="E134" s="8" t="s">
        <v>88</v>
      </c>
      <c r="F134" s="93">
        <f>SUMIF(Tracker!$U$9:$U$406, E134, Tracker!$H$9:$H$406)+SUMIF(Tracker!$U$9:$U$406, E134, Tracker!$I$9:$I$406)</f>
        <v>128.57677202169441</v>
      </c>
      <c r="G134" s="8">
        <f>SUMIF(Tracker!$U$9:$U$406, E134, Tracker!$J$9:$J$406)</f>
        <v>0</v>
      </c>
      <c r="H134" s="49">
        <f>80*((F134/52000)+(G134/210))/2</f>
        <v>9.8905209247457243E-2</v>
      </c>
      <c r="I134" s="8">
        <f>H134*(21600/VLOOKUP(E134, Tracker!$U$9:$W$406, 3, FALSE))</f>
        <v>0.10681762598725383</v>
      </c>
    </row>
    <row r="135" spans="1:9" ht="25" customHeight="1" x14ac:dyDescent="0.35">
      <c r="A135" s="8" t="s">
        <v>43</v>
      </c>
      <c r="B135" s="93">
        <f>SUMIF(Tracker!$U$9:$U$406, A135, Tracker!$H$9:$H$406)+SUMIF(Tracker!$U$9:$U$406, A135, Tracker!$I$9:$I$406)</f>
        <v>98.087712736113701</v>
      </c>
      <c r="C135" s="8">
        <f>SUMIF(Tracker!$U$9:$U$406, A135, Tracker!$J$9:$J$406)</f>
        <v>0</v>
      </c>
      <c r="E135" s="8" t="s">
        <v>43</v>
      </c>
      <c r="F135" s="93">
        <f>SUMIF(Tracker!$U$9:$U$406, E135, Tracker!$H$9:$H$406)+SUMIF(Tracker!$U$9:$U$406, E135, Tracker!$I$9:$I$406)</f>
        <v>98.087712736113701</v>
      </c>
      <c r="G135" s="8">
        <f>SUMIF(Tracker!$U$9:$U$406, E135, Tracker!$J$9:$J$406)</f>
        <v>0</v>
      </c>
      <c r="H135" s="49">
        <f>80*((F135/52000)+(G135/210))/2</f>
        <v>7.5452086720087463E-2</v>
      </c>
      <c r="I135" s="8">
        <f>H135*(21600/VLOOKUP(E135, Tracker!$U$9:$W$406, 3, FALSE))</f>
        <v>7.5452086720087463E-2</v>
      </c>
    </row>
    <row r="136" spans="1:9" ht="25" customHeight="1" x14ac:dyDescent="0.35">
      <c r="A136" s="8" t="s">
        <v>11</v>
      </c>
      <c r="B136" s="93">
        <f>SUMIF(Tracker!$U$9:$U$406, A136, Tracker!$H$9:$H$406)+SUMIF(Tracker!$U$9:$U$406, A136, Tracker!$I$9:$I$406)</f>
        <v>0</v>
      </c>
      <c r="C136" s="8">
        <f>SUMIF(Tracker!$U$9:$U$406, A136, Tracker!$J$9:$J$406)</f>
        <v>0</v>
      </c>
      <c r="E136" s="8" t="s">
        <v>11</v>
      </c>
      <c r="F136" s="93">
        <f>SUMIF(Tracker!$U$9:$U$406, E136, Tracker!$H$9:$H$406)+SUMIF(Tracker!$U$9:$U$406, E136, Tracker!$I$9:$I$406)</f>
        <v>0</v>
      </c>
      <c r="G136" s="8">
        <f>SUMIF(Tracker!$U$9:$U$406, E136, Tracker!$J$9:$J$406)</f>
        <v>0</v>
      </c>
      <c r="H136" s="49">
        <f>80*((F136/52000)+(G136/210))/2</f>
        <v>0</v>
      </c>
      <c r="I136" s="8">
        <f>H136*(21600/VLOOKUP(E136, Tracker!$U$9:$W$406, 3, FALSE))</f>
        <v>0</v>
      </c>
    </row>
    <row r="137" spans="1:9" ht="25" customHeight="1" x14ac:dyDescent="0.35">
      <c r="A137" s="8" t="s">
        <v>35</v>
      </c>
      <c r="B137" s="93">
        <f>SUMIF(Tracker!$U$9:$U$406, A137, Tracker!$H$9:$H$406)+SUMIF(Tracker!$U$9:$U$406, A137, Tracker!$I$9:$I$406)</f>
        <v>0</v>
      </c>
      <c r="C137" s="8">
        <f>SUMIF(Tracker!$U$9:$U$406, A137, Tracker!$J$9:$J$406)</f>
        <v>0</v>
      </c>
      <c r="E137" s="8" t="s">
        <v>35</v>
      </c>
      <c r="F137" s="93">
        <f>SUMIF(Tracker!$U$9:$U$406, E137, Tracker!$H$9:$H$406)+SUMIF(Tracker!$U$9:$U$406, E137, Tracker!$I$9:$I$406)</f>
        <v>0</v>
      </c>
      <c r="G137" s="8">
        <f>SUMIF(Tracker!$U$9:$U$406, E137, Tracker!$J$9:$J$406)</f>
        <v>0</v>
      </c>
      <c r="H137" s="49">
        <f>80*((F137/52000)+(G137/210))/2</f>
        <v>0</v>
      </c>
      <c r="I137" s="8">
        <f>H137*(21600/VLOOKUP(E137, Tracker!$U$9:$W$406, 3, FALSE))</f>
        <v>0</v>
      </c>
    </row>
    <row r="138" spans="1:9" ht="25" customHeight="1" x14ac:dyDescent="0.35">
      <c r="A138" s="8" t="s">
        <v>86</v>
      </c>
      <c r="B138" s="93">
        <f>SUMIF(Tracker!$U$9:$U$406, A138, Tracker!$H$9:$H$406)+SUMIF(Tracker!$U$9:$U$406, A138, Tracker!$I$9:$I$406)</f>
        <v>0</v>
      </c>
      <c r="C138" s="8">
        <f>SUMIF(Tracker!$U$9:$U$406, A138, Tracker!$J$9:$J$406)</f>
        <v>0</v>
      </c>
      <c r="E138" s="8" t="s">
        <v>86</v>
      </c>
      <c r="F138" s="93">
        <f>SUMIF(Tracker!$U$9:$U$406, E138, Tracker!$H$9:$H$406)+SUMIF(Tracker!$U$9:$U$406, E138, Tracker!$I$9:$I$406)</f>
        <v>0</v>
      </c>
      <c r="G138" s="8">
        <f>SUMIF(Tracker!$U$9:$U$406, E138, Tracker!$J$9:$J$406)</f>
        <v>0</v>
      </c>
      <c r="H138" s="49">
        <f>80*((F138/52000)+(G138/210))/2</f>
        <v>0</v>
      </c>
      <c r="I138" s="8">
        <f>H138*(21600/VLOOKUP(E138, Tracker!$U$9:$W$406, 3, FALSE))</f>
        <v>0</v>
      </c>
    </row>
    <row r="139" spans="1:9" ht="25" customHeight="1" x14ac:dyDescent="0.35">
      <c r="A139" s="8" t="s">
        <v>40</v>
      </c>
      <c r="B139" s="93">
        <f>SUMIF(Tracker!$U$9:$U$406, A139, Tracker!$H$9:$H$406)+SUMIF(Tracker!$U$9:$U$406, A139, Tracker!$I$9:$I$406)</f>
        <v>0</v>
      </c>
      <c r="C139" s="8">
        <f>SUMIF(Tracker!$U$9:$U$406, A139, Tracker!$J$9:$J$406)</f>
        <v>0</v>
      </c>
      <c r="E139" s="8" t="s">
        <v>40</v>
      </c>
      <c r="F139" s="93">
        <f>SUMIF(Tracker!$U$9:$U$406, E139, Tracker!$H$9:$H$406)+SUMIF(Tracker!$U$9:$U$406, E139, Tracker!$I$9:$I$406)</f>
        <v>0</v>
      </c>
      <c r="G139" s="8">
        <f>SUMIF(Tracker!$U$9:$U$406, E139, Tracker!$J$9:$J$406)</f>
        <v>0</v>
      </c>
      <c r="H139" s="49">
        <f>80*((F139/52000)+(G139/210))/2</f>
        <v>0</v>
      </c>
      <c r="I139" s="8">
        <f>H139*(21600/VLOOKUP(E139, Tracker!$U$9:$W$406, 3, FALSE))</f>
        <v>0</v>
      </c>
    </row>
    <row r="140" spans="1:9" ht="25" customHeight="1" x14ac:dyDescent="0.35">
      <c r="A140" s="8" t="s">
        <v>57</v>
      </c>
      <c r="B140" s="93">
        <f>SUMIF(Tracker!$U$9:$U$406, A140, Tracker!$H$9:$H$406)+SUMIF(Tracker!$U$9:$U$406, A140, Tracker!$I$9:$I$406)</f>
        <v>0</v>
      </c>
      <c r="C140" s="8">
        <f>SUMIF(Tracker!$U$9:$U$406, A140, Tracker!$J$9:$J$406)</f>
        <v>0</v>
      </c>
      <c r="E140" s="8" t="s">
        <v>57</v>
      </c>
      <c r="F140" s="93">
        <f>SUMIF(Tracker!$U$9:$U$406, E140, Tracker!$H$9:$H$406)+SUMIF(Tracker!$U$9:$U$406, E140, Tracker!$I$9:$I$406)</f>
        <v>0</v>
      </c>
      <c r="G140" s="8">
        <f>SUMIF(Tracker!$U$9:$U$406, E140, Tracker!$J$9:$J$406)</f>
        <v>0</v>
      </c>
      <c r="H140" s="49">
        <f>80*((F140/52000)+(G140/210))/2</f>
        <v>0</v>
      </c>
      <c r="I140" s="8">
        <f>H140*(21600/VLOOKUP(E140, Tracker!$U$9:$W$406, 3, FALSE))</f>
        <v>0</v>
      </c>
    </row>
    <row r="141" spans="1:9" ht="25" customHeight="1" x14ac:dyDescent="0.35">
      <c r="A141" s="8" t="s">
        <v>61</v>
      </c>
      <c r="B141" s="93">
        <f>SUMIF(Tracker!$U$9:$U$406, A141, Tracker!$H$9:$H$406)+SUMIF(Tracker!$U$9:$U$406, A141, Tracker!$I$9:$I$406)</f>
        <v>0</v>
      </c>
      <c r="C141" s="8">
        <f>SUMIF(Tracker!$U$9:$U$406, A141, Tracker!$J$9:$J$406)</f>
        <v>0</v>
      </c>
      <c r="E141" s="8" t="s">
        <v>61</v>
      </c>
      <c r="F141" s="93">
        <f>SUMIF(Tracker!$U$9:$U$406, E141, Tracker!$H$9:$H$406)+SUMIF(Tracker!$U$9:$U$406, E141, Tracker!$I$9:$I$406)</f>
        <v>0</v>
      </c>
      <c r="G141" s="8">
        <f>SUMIF(Tracker!$U$9:$U$406, E141, Tracker!$J$9:$J$406)</f>
        <v>0</v>
      </c>
      <c r="H141" s="49">
        <f>80*((F141/52000)+(G141/210))/2</f>
        <v>0</v>
      </c>
      <c r="I141" s="8">
        <f>H141*(21600/VLOOKUP(E141, Tracker!$U$9:$W$406, 3, FALSE))</f>
        <v>0</v>
      </c>
    </row>
    <row r="142" spans="1:9" ht="25" customHeight="1" x14ac:dyDescent="0.35">
      <c r="A142" s="8" t="s">
        <v>48</v>
      </c>
      <c r="B142" s="93">
        <f>SUMIF(Tracker!$U$9:$U$406, A142, Tracker!$H$9:$H$406)+SUMIF(Tracker!$U$9:$U$406, A142, Tracker!$I$9:$I$406)</f>
        <v>0</v>
      </c>
      <c r="C142" s="8">
        <f>SUMIF(Tracker!$U$9:$U$406, A142, Tracker!$J$9:$J$406)</f>
        <v>0</v>
      </c>
      <c r="E142" s="8" t="s">
        <v>48</v>
      </c>
      <c r="F142" s="93">
        <f>SUMIF(Tracker!$U$9:$U$406, E142, Tracker!$H$9:$H$406)+SUMIF(Tracker!$U$9:$U$406, E142, Tracker!$I$9:$I$406)</f>
        <v>0</v>
      </c>
      <c r="G142" s="8">
        <f>SUMIF(Tracker!$U$9:$U$406, E142, Tracker!$J$9:$J$406)</f>
        <v>0</v>
      </c>
      <c r="H142" s="49">
        <f>80*((F142/52000)+(G142/210))/2</f>
        <v>0</v>
      </c>
      <c r="I142" s="8">
        <f>H142*(21600/VLOOKUP(E142, Tracker!$U$9:$W$406, 3, FALSE))</f>
        <v>0</v>
      </c>
    </row>
    <row r="143" spans="1:9" ht="25" customHeight="1" x14ac:dyDescent="0.35">
      <c r="A143" s="8" t="s">
        <v>51</v>
      </c>
      <c r="B143" s="93">
        <f>SUMIF(Tracker!$U$9:$U$406, A143, Tracker!$H$9:$H$406)+SUMIF(Tracker!$U$9:$U$406, A143, Tracker!$I$9:$I$406)</f>
        <v>0</v>
      </c>
      <c r="C143" s="8">
        <f>SUMIF(Tracker!$U$9:$U$406, A143, Tracker!$J$9:$J$406)</f>
        <v>0</v>
      </c>
      <c r="E143" s="8" t="s">
        <v>51</v>
      </c>
      <c r="F143" s="93">
        <f>SUMIF(Tracker!$U$9:$U$406, E143, Tracker!$H$9:$H$406)+SUMIF(Tracker!$U$9:$U$406, E143, Tracker!$I$9:$I$406)</f>
        <v>0</v>
      </c>
      <c r="G143" s="8">
        <f>SUMIF(Tracker!$U$9:$U$406, E143, Tracker!$J$9:$J$406)</f>
        <v>0</v>
      </c>
      <c r="H143" s="49">
        <f>80*((F143/52000)+(G143/210))/2</f>
        <v>0</v>
      </c>
      <c r="I143" s="8">
        <f>H143*(21600/VLOOKUP(E143, Tracker!$U$9:$W$406, 3, FALSE))</f>
        <v>0</v>
      </c>
    </row>
    <row r="144" spans="1:9" ht="25" customHeight="1" x14ac:dyDescent="0.35">
      <c r="A144" s="8" t="s">
        <v>92</v>
      </c>
      <c r="B144" s="93">
        <f>SUMIF(Tracker!$U$9:$U$406, A144, Tracker!$H$9:$H$406)+SUMIF(Tracker!$U$9:$U$406, A144, Tracker!$I$9:$I$406)</f>
        <v>0</v>
      </c>
      <c r="C144" s="8">
        <f>SUMIF(Tracker!$U$9:$U$406, A144, Tracker!$J$9:$J$406)</f>
        <v>0</v>
      </c>
      <c r="E144" s="8" t="s">
        <v>92</v>
      </c>
      <c r="F144" s="93">
        <f>SUMIF(Tracker!$U$9:$U$406, E144, Tracker!$H$9:$H$406)+SUMIF(Tracker!$U$9:$U$406, E144, Tracker!$I$9:$I$406)</f>
        <v>0</v>
      </c>
      <c r="G144" s="8">
        <f>SUMIF(Tracker!$U$9:$U$406, E144, Tracker!$J$9:$J$406)</f>
        <v>0</v>
      </c>
      <c r="H144" s="49">
        <f>80*((F144/52000)+(G144/210))/2</f>
        <v>0</v>
      </c>
      <c r="I144" s="8">
        <f>H144*(21600/VLOOKUP(E144, Tracker!$U$9:$W$406, 3, FALSE))</f>
        <v>0</v>
      </c>
    </row>
    <row r="145" spans="1:9" ht="25" customHeight="1" x14ac:dyDescent="0.35">
      <c r="A145" s="8" t="s">
        <v>44</v>
      </c>
      <c r="B145" s="93">
        <f>SUMIF(Tracker!$U$9:$U$406, A145, Tracker!$H$9:$H$406)+SUMIF(Tracker!$U$9:$U$406, A145, Tracker!$I$9:$I$406)</f>
        <v>0</v>
      </c>
      <c r="C145" s="8">
        <f>SUMIF(Tracker!$U$9:$U$406, A145, Tracker!$J$9:$J$406)</f>
        <v>0</v>
      </c>
      <c r="E145" s="8" t="s">
        <v>44</v>
      </c>
      <c r="F145" s="93">
        <f>SUMIF(Tracker!$U$9:$U$406, E145, Tracker!$H$9:$H$406)+SUMIF(Tracker!$U$9:$U$406, E145, Tracker!$I$9:$I$406)</f>
        <v>0</v>
      </c>
      <c r="G145" s="8">
        <f>SUMIF(Tracker!$U$9:$U$406, E145, Tracker!$J$9:$J$406)</f>
        <v>0</v>
      </c>
      <c r="H145" s="49">
        <f>80*((F145/52000)+(G145/210))/2</f>
        <v>0</v>
      </c>
      <c r="I145" s="8">
        <f>H145*(21600/VLOOKUP(E145, Tracker!$U$9:$W$406, 3, FALSE))</f>
        <v>0</v>
      </c>
    </row>
    <row r="146" spans="1:9" ht="25" customHeight="1" x14ac:dyDescent="0.35">
      <c r="A146" s="8" t="s">
        <v>54</v>
      </c>
      <c r="B146" s="93">
        <f>SUMIF(Tracker!$U$9:$U$406, A146, Tracker!$H$9:$H$406)+SUMIF(Tracker!$U$9:$U$406, A146, Tracker!$I$9:$I$406)</f>
        <v>0</v>
      </c>
      <c r="C146" s="8">
        <f>SUMIF(Tracker!$U$9:$U$406, A146, Tracker!$J$9:$J$406)</f>
        <v>0</v>
      </c>
      <c r="E146" s="8" t="s">
        <v>54</v>
      </c>
      <c r="F146" s="93">
        <f>SUMIF(Tracker!$U$9:$U$406, E146, Tracker!$H$9:$H$406)+SUMIF(Tracker!$U$9:$U$406, E146, Tracker!$I$9:$I$406)</f>
        <v>0</v>
      </c>
      <c r="G146" s="8">
        <f>SUMIF(Tracker!$U$9:$U$406, E146, Tracker!$J$9:$J$406)</f>
        <v>0</v>
      </c>
      <c r="H146" s="49">
        <f>80*((F146/52000)+(G146/210))/2</f>
        <v>0</v>
      </c>
      <c r="I146" s="8">
        <f>H146*(21600/VLOOKUP(E146, Tracker!$U$9:$W$406, 3, FALSE))</f>
        <v>0</v>
      </c>
    </row>
    <row r="147" spans="1:9" ht="25" customHeight="1" x14ac:dyDescent="0.35">
      <c r="A147" s="8" t="s">
        <v>63</v>
      </c>
      <c r="B147" s="93">
        <f>SUMIF(Tracker!$U$9:$U$406, A147, Tracker!$H$9:$H$406)+SUMIF(Tracker!$U$9:$U$406, A147, Tracker!$I$9:$I$406)</f>
        <v>0</v>
      </c>
      <c r="C147" s="8">
        <f>SUMIF(Tracker!$U$9:$U$406, A147, Tracker!$J$9:$J$406)</f>
        <v>0</v>
      </c>
      <c r="E147" s="8" t="s">
        <v>63</v>
      </c>
      <c r="F147" s="93">
        <f>SUMIF(Tracker!$U$9:$U$406, E147, Tracker!$H$9:$H$406)+SUMIF(Tracker!$U$9:$U$406, E147, Tracker!$I$9:$I$406)</f>
        <v>0</v>
      </c>
      <c r="G147" s="8">
        <f>SUMIF(Tracker!$U$9:$U$406, E147, Tracker!$J$9:$J$406)</f>
        <v>0</v>
      </c>
      <c r="H147" s="49">
        <f>80*((F147/52000)+(G147/210))/2</f>
        <v>0</v>
      </c>
      <c r="I147" s="8">
        <f>H147*(21600/VLOOKUP(E147, Tracker!$U$9:$W$406, 3, FALSE))</f>
        <v>0</v>
      </c>
    </row>
    <row r="148" spans="1:9" ht="25" customHeight="1" x14ac:dyDescent="0.35">
      <c r="A148" s="8" t="s">
        <v>66</v>
      </c>
      <c r="B148" s="93">
        <f>SUMIF(Tracker!$U$9:$U$406, A148, Tracker!$H$9:$H$406)+SUMIF(Tracker!$U$9:$U$406, A148, Tracker!$I$9:$I$406)</f>
        <v>0</v>
      </c>
      <c r="C148" s="8">
        <f>SUMIF(Tracker!$U$9:$U$406, A148, Tracker!$J$9:$J$406)</f>
        <v>0</v>
      </c>
      <c r="E148" s="8" t="s">
        <v>66</v>
      </c>
      <c r="F148" s="93">
        <f>SUMIF(Tracker!$U$9:$U$406, E148, Tracker!$H$9:$H$406)+SUMIF(Tracker!$U$9:$U$406, E148, Tracker!$I$9:$I$406)</f>
        <v>0</v>
      </c>
      <c r="G148" s="8">
        <f>SUMIF(Tracker!$U$9:$U$406, E148, Tracker!$J$9:$J$406)</f>
        <v>0</v>
      </c>
      <c r="H148" s="49">
        <f>80*((F148/52000)+(G148/210))/2</f>
        <v>0</v>
      </c>
      <c r="I148" s="8">
        <f>H148*(21600/VLOOKUP(E148, Tracker!$U$9:$W$406, 3, FALSE))</f>
        <v>0</v>
      </c>
    </row>
    <row r="149" spans="1:9" ht="25" customHeight="1" x14ac:dyDescent="0.35">
      <c r="A149" s="8" t="s">
        <v>67</v>
      </c>
      <c r="B149" s="93">
        <f>SUMIF(Tracker!$U$9:$U$406, A149, Tracker!$H$9:$H$406)+SUMIF(Tracker!$U$9:$U$406, A149, Tracker!$I$9:$I$406)</f>
        <v>0</v>
      </c>
      <c r="C149" s="8">
        <f>SUMIF(Tracker!$U$9:$U$406, A149, Tracker!$J$9:$J$406)</f>
        <v>0</v>
      </c>
      <c r="E149" s="8" t="s">
        <v>67</v>
      </c>
      <c r="F149" s="93">
        <f>SUMIF(Tracker!$U$9:$U$406, E149, Tracker!$H$9:$H$406)+SUMIF(Tracker!$U$9:$U$406, E149, Tracker!$I$9:$I$406)</f>
        <v>0</v>
      </c>
      <c r="G149" s="8">
        <f>SUMIF(Tracker!$U$9:$U$406, E149, Tracker!$J$9:$J$406)</f>
        <v>0</v>
      </c>
      <c r="H149" s="49">
        <f>80*((F149/52000)+(G149/210))/2</f>
        <v>0</v>
      </c>
      <c r="I149" s="8">
        <f>H149*(21600/VLOOKUP(E149, Tracker!$U$9:$W$406, 3, FALSE))</f>
        <v>0</v>
      </c>
    </row>
    <row r="150" spans="1:9" ht="25" customHeight="1" x14ac:dyDescent="0.35">
      <c r="A150" s="8" t="s">
        <v>74</v>
      </c>
      <c r="B150" s="93">
        <f>SUMIF(Tracker!$U$9:$U$406, A150, Tracker!$H$9:$H$406)+SUMIF(Tracker!$U$9:$U$406, A150, Tracker!$I$9:$I$406)</f>
        <v>0</v>
      </c>
      <c r="C150" s="8">
        <f>SUMIF(Tracker!$U$9:$U$406, A150, Tracker!$J$9:$J$406)</f>
        <v>0</v>
      </c>
      <c r="E150" s="8" t="s">
        <v>74</v>
      </c>
      <c r="F150" s="93">
        <f>SUMIF(Tracker!$U$9:$U$406, E150, Tracker!$H$9:$H$406)+SUMIF(Tracker!$U$9:$U$406, E150, Tracker!$I$9:$I$406)</f>
        <v>0</v>
      </c>
      <c r="G150" s="8">
        <f>SUMIF(Tracker!$U$9:$U$406, E150, Tracker!$J$9:$J$406)</f>
        <v>0</v>
      </c>
      <c r="H150" s="49">
        <f>80*((F150/52000)+(G150/210))/2</f>
        <v>0</v>
      </c>
      <c r="I150" s="8">
        <f>H150*(21600/VLOOKUP(E150, Tracker!$U$9:$W$406, 3, FALSE))</f>
        <v>0</v>
      </c>
    </row>
    <row r="151" spans="1:9" ht="25" customHeight="1" x14ac:dyDescent="0.35">
      <c r="A151" s="8" t="s">
        <v>75</v>
      </c>
      <c r="B151" s="93">
        <f>SUMIF(Tracker!$U$9:$U$406, A151, Tracker!$H$9:$H$406)+SUMIF(Tracker!$U$9:$U$406, A151, Tracker!$I$9:$I$406)</f>
        <v>0</v>
      </c>
      <c r="C151" s="8">
        <f>SUMIF(Tracker!$U$9:$U$406, A151, Tracker!$J$9:$J$406)</f>
        <v>0</v>
      </c>
      <c r="E151" s="8" t="s">
        <v>75</v>
      </c>
      <c r="F151" s="93">
        <f>SUMIF(Tracker!$U$9:$U$406, E151, Tracker!$H$9:$H$406)+SUMIF(Tracker!$U$9:$U$406, E151, Tracker!$I$9:$I$406)</f>
        <v>0</v>
      </c>
      <c r="G151" s="8">
        <f>SUMIF(Tracker!$U$9:$U$406, E151, Tracker!$J$9:$J$406)</f>
        <v>0</v>
      </c>
      <c r="H151" s="49">
        <f>80*((F151/52000)+(G151/210))/2</f>
        <v>0</v>
      </c>
      <c r="I151" s="8">
        <f>H151*(21600/VLOOKUP(E151, Tracker!$U$9:$W$406, 3, FALSE))</f>
        <v>0</v>
      </c>
    </row>
    <row r="152" spans="1:9" ht="25" customHeight="1" x14ac:dyDescent="0.35">
      <c r="A152" s="8" t="s">
        <v>78</v>
      </c>
      <c r="B152" s="93">
        <f>SUMIF(Tracker!$U$9:$U$406, A152, Tracker!$H$9:$H$406)+SUMIF(Tracker!$U$9:$U$406, A152, Tracker!$I$9:$I$406)</f>
        <v>0</v>
      </c>
      <c r="C152" s="8">
        <f>SUMIF(Tracker!$U$9:$U$406, A152, Tracker!$J$9:$J$406)</f>
        <v>0</v>
      </c>
      <c r="E152" s="8" t="s">
        <v>78</v>
      </c>
      <c r="F152" s="93">
        <f>SUMIF(Tracker!$U$9:$U$406, E152, Tracker!$H$9:$H$406)+SUMIF(Tracker!$U$9:$U$406, E152, Tracker!$I$9:$I$406)</f>
        <v>0</v>
      </c>
      <c r="G152" s="8">
        <f>SUMIF(Tracker!$U$9:$U$406, E152, Tracker!$J$9:$J$406)</f>
        <v>0</v>
      </c>
      <c r="H152" s="49">
        <f>80*((F152/52000)+(G152/210))/2</f>
        <v>0</v>
      </c>
      <c r="I152" s="8">
        <f>H152*(21600/VLOOKUP(E152, Tracker!$U$9:$W$406, 3, FALSE))</f>
        <v>0</v>
      </c>
    </row>
    <row r="153" spans="1:9" ht="25" customHeight="1" x14ac:dyDescent="0.35">
      <c r="A153" s="8" t="s">
        <v>79</v>
      </c>
      <c r="B153" s="93">
        <f>SUMIF(Tracker!$U$9:$U$406, A153, Tracker!$H$9:$H$406)+SUMIF(Tracker!$U$9:$U$406, A153, Tracker!$I$9:$I$406)</f>
        <v>0</v>
      </c>
      <c r="C153" s="8">
        <f>SUMIF(Tracker!$U$9:$U$406, A153, Tracker!$J$9:$J$406)</f>
        <v>0</v>
      </c>
      <c r="E153" s="8" t="s">
        <v>79</v>
      </c>
      <c r="F153" s="93">
        <f>SUMIF(Tracker!$U$9:$U$406, E153, Tracker!$H$9:$H$406)+SUMIF(Tracker!$U$9:$U$406, E153, Tracker!$I$9:$I$406)</f>
        <v>0</v>
      </c>
      <c r="G153" s="8">
        <f>SUMIF(Tracker!$U$9:$U$406, E153, Tracker!$J$9:$J$406)</f>
        <v>0</v>
      </c>
      <c r="H153" s="49">
        <f>80*((F153/52000)+(G153/210))/2</f>
        <v>0</v>
      </c>
      <c r="I153" s="8">
        <f>H153*(21600/VLOOKUP(E153, Tracker!$U$9:$W$406, 3, FALSE))</f>
        <v>0</v>
      </c>
    </row>
    <row r="154" spans="1:9" ht="25" customHeight="1" x14ac:dyDescent="0.35">
      <c r="A154" s="8" t="s">
        <v>100</v>
      </c>
      <c r="B154" s="93">
        <f>SUMIF(Tracker!$U$9:$U$406, A154, Tracker!$H$9:$H$406)+SUMIF(Tracker!$U$9:$U$406, A154, Tracker!$I$9:$I$406)</f>
        <v>0</v>
      </c>
      <c r="C154" s="8">
        <f>SUMIF(Tracker!$U$9:$U$406, A154, Tracker!$J$9:$J$406)</f>
        <v>0</v>
      </c>
      <c r="E154" s="8" t="s">
        <v>100</v>
      </c>
      <c r="F154" s="93">
        <f>SUMIF(Tracker!$U$9:$U$406, E154, Tracker!$H$9:$H$406)+SUMIF(Tracker!$U$9:$U$406, E154, Tracker!$I$9:$I$406)</f>
        <v>0</v>
      </c>
      <c r="G154" s="8">
        <f>SUMIF(Tracker!$U$9:$U$406, E154, Tracker!$J$9:$J$406)</f>
        <v>0</v>
      </c>
      <c r="H154" s="49">
        <f>80*((F154/52000)+(G154/210))/2</f>
        <v>0</v>
      </c>
      <c r="I154" s="8">
        <f>H154*(21600/VLOOKUP(E154, Tracker!$U$9:$W$406, 3, FALSE))</f>
        <v>0</v>
      </c>
    </row>
    <row r="155" spans="1:9" ht="25" customHeight="1" x14ac:dyDescent="0.35">
      <c r="A155" s="8" t="s">
        <v>93</v>
      </c>
      <c r="B155" s="93">
        <f>SUMIF(Tracker!$U$9:$U$406, A155, Tracker!$H$9:$H$406)+SUMIF(Tracker!$U$9:$U$406, A155, Tracker!$I$9:$I$406)</f>
        <v>0</v>
      </c>
      <c r="C155" s="8">
        <f>SUMIF(Tracker!$U$9:$U$406, A155, Tracker!$J$9:$J$406)</f>
        <v>0</v>
      </c>
      <c r="E155" s="8" t="s">
        <v>93</v>
      </c>
      <c r="F155" s="93">
        <f>SUMIF(Tracker!$U$9:$U$406, E155, Tracker!$H$9:$H$406)+SUMIF(Tracker!$U$9:$U$406, E155, Tracker!$I$9:$I$406)</f>
        <v>0</v>
      </c>
      <c r="G155" s="8">
        <f>SUMIF(Tracker!$U$9:$U$406, E155, Tracker!$J$9:$J$406)</f>
        <v>0</v>
      </c>
      <c r="H155" s="49">
        <f>80*((F155/52000)+(G155/210))/2</f>
        <v>0</v>
      </c>
      <c r="I155" s="8">
        <f>H155*(21600/VLOOKUP(E155, Tracker!$U$9:$W$406, 3, FALSE))</f>
        <v>0</v>
      </c>
    </row>
  </sheetData>
  <sortState xmlns:xlrd2="http://schemas.microsoft.com/office/spreadsheetml/2017/richdata2" ref="E89:I155">
    <sortCondition descending="1" ref="I89:I155"/>
  </sortState>
  <mergeCells count="5">
    <mergeCell ref="B15:C15"/>
    <mergeCell ref="D15:D16"/>
    <mergeCell ref="D17:D18"/>
    <mergeCell ref="E15:E16"/>
    <mergeCell ref="E17:E18"/>
  </mergeCells>
  <phoneticPr fontId="2" type="noConversion"/>
  <pageMargins left="0.7" right="0.7" top="0.75" bottom="0.75" header="0.3" footer="0.3"/>
  <pageSetup paperSize="9" orientation="portrait" verticalDpi="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AD53D78F-62A3-4BE0-9121-EC7940E39163}">
            <x14:iconSet iconSet="3Triangles" custom="1">
              <x14:cfvo type="percent">
                <xm:f>0</xm:f>
              </x14:cfvo>
              <x14:cfvo type="num">
                <xm:f>0.2</xm:f>
              </x14:cfvo>
              <x14:cfvo type="num">
                <xm:f>0.505</xm:f>
              </x14:cfvo>
              <x14:cfIcon iconSet="3Flags" iconId="0"/>
              <x14:cfIcon iconSet="3Triangles" iconId="1"/>
              <x14:cfIcon iconSet="3Triangles" iconId="2"/>
            </x14:iconSet>
          </x14:cfRule>
          <xm:sqref>E3:E12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Tracker</vt:lpstr>
      <vt:lpstr>Summary</vt:lpstr>
      <vt:lpstr>BOSDubai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Axel Faurax</dc:creator>
  <cp:keywords/>
  <dc:description/>
  <cp:lastModifiedBy>Axel Faurax</cp:lastModifiedBy>
  <cp:revision/>
  <dcterms:created xsi:type="dcterms:W3CDTF">2024-08-19T03:53:57Z</dcterms:created>
  <dcterms:modified xsi:type="dcterms:W3CDTF">2025-04-10T08:06:38Z</dcterms:modified>
  <cp:category/>
  <cp:contentStatus/>
</cp:coreProperties>
</file>