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://miredestrella/CapitalHumano/Beneficios/Servicios Bancarios/Calculadoras/"/>
    </mc:Choice>
  </mc:AlternateContent>
  <bookViews>
    <workbookView xWindow="0" yWindow="0" windowWidth="19395" windowHeight="9675"/>
  </bookViews>
  <sheets>
    <sheet name="calculadora" sheetId="8" r:id="rId1"/>
    <sheet name="Cotización" sheetId="5" state="veryHidden" r:id="rId2"/>
    <sheet name="Cotización-análisis_auto" sheetId="1" state="veryHidden" r:id="rId3"/>
    <sheet name="Liquidación empl" sheetId="7" state="veryHidden" r:id="rId4"/>
    <sheet name="Guía_uso (2)" sheetId="6" state="veryHidden" r:id="rId5"/>
    <sheet name="Guía_uso" sheetId="4" state="veryHidden" r:id="rId6"/>
    <sheet name="Datos_lista" sheetId="3" state="veryHidden" r:id="rId7"/>
  </sheets>
  <externalReferences>
    <externalReference r:id="rId8"/>
    <externalReference r:id="rId9"/>
    <externalReference r:id="rId10"/>
  </externalReferences>
  <definedNames>
    <definedName name="abono">Cotización!$E$34</definedName>
    <definedName name="agencia_auto">'Cotización-análisis_auto'!#REF!</definedName>
    <definedName name="Año_auto">'Cotización-análisis_auto'!#REF!</definedName>
    <definedName name="_xlnm.Print_Area" localSheetId="2">'Cotización-análisis_auto'!$A$1:$N$204</definedName>
    <definedName name="_xlnm.Print_Area" localSheetId="3">'Liquidación empl'!$L$1:$P$30</definedName>
    <definedName name="aseguradora">Cotización!$K$26</definedName>
    <definedName name="Auto">Datos_lista!$C$15:$C$18</definedName>
    <definedName name="Cancela" localSheetId="0">[1]Información_listas!$G$20:$G$24</definedName>
    <definedName name="Cancela">[2]Información_listas!$G$20:$G$24</definedName>
    <definedName name="capacidad_pago_a">'Cotización-análisis_auto'!#REF!</definedName>
    <definedName name="Cargo" localSheetId="0">calculadora!$E$7</definedName>
    <definedName name="Cargo">#REF!</definedName>
    <definedName name="Cargo_a">Cotización!$C$16</definedName>
    <definedName name="categoria" localSheetId="0">'[1]Cotización-Análisis_personal'!$K$4:$M$4</definedName>
    <definedName name="categoria">'[2]Cotización-Análisis_personal'!$K$4:$M$4</definedName>
    <definedName name="categoría_a">'Cotización-análisis_auto'!$M$6:$N$6</definedName>
    <definedName name="Categoría_trámite" localSheetId="0">[1]Información_listas!$H$15:$H$20</definedName>
    <definedName name="Categoría_trámite">Datos_lista!$H$4:$H$9</definedName>
    <definedName name="Cédula" localSheetId="0">calculadora!#REF!</definedName>
    <definedName name="Cédula">#REF!</definedName>
    <definedName name="Cédula_a">Cotización!$C$10</definedName>
    <definedName name="clase_préstamo">Cotización!$K$10</definedName>
    <definedName name="clasif_elegir" localSheetId="0">calculadora!#REF!</definedName>
    <definedName name="clasif_elegir">#REF!</definedName>
    <definedName name="Clasif_tipo_préstamo" localSheetId="0">[1]Información_listas!$E$5:$E$8</definedName>
    <definedName name="Clasif_tipo_préstamo">[2]Información_listas!$E$5:$E$8</definedName>
    <definedName name="Condición1">Datos_lista!$L$42:$L$43</definedName>
    <definedName name="Condición2">Datos_lista!$K$42:$K$45</definedName>
    <definedName name="Edad" localSheetId="0">'[1]Cotización-Análisis_personal'!$F$12</definedName>
    <definedName name="Edad">'[2]Cotización-Análisis_personal'!$F$12</definedName>
    <definedName name="Edad_a">'Cotización-análisis_auto'!$G$8</definedName>
    <definedName name="edad1" localSheetId="0">calculadora!#REF!</definedName>
    <definedName name="edad1">Cotización!$C$14</definedName>
    <definedName name="ejec_nego_a">'Cotización-análisis_auto'!#REF!</definedName>
    <definedName name="Ejec_negocios">Datos_lista!$B$15:$B$20</definedName>
    <definedName name="ejecutivodd" localSheetId="0">[1]Información_listas!$D$31:$D$36</definedName>
    <definedName name="ejecutivodd">[2]Información_listas!$D$31:$D$36</definedName>
    <definedName name="Empresa" localSheetId="0">[1]Información_listas!$C$5:$C$10</definedName>
    <definedName name="Empresa">Datos_lista!$B$4:$B$9</definedName>
    <definedName name="empresa_anterior" localSheetId="0">calculadora!#REF!</definedName>
    <definedName name="empresa_anterior">Cotización!$C$24</definedName>
    <definedName name="EXCEPCIONES">Datos_lista!$E$24:$E$38</definedName>
    <definedName name="fecha" localSheetId="0">'[1]Cotización-Análisis_personal'!#REF!</definedName>
    <definedName name="fecha">'[2]Cotización-Análisis_personal'!#REF!</definedName>
    <definedName name="fecha_a">'Cotización-análisis_auto'!#REF!</definedName>
    <definedName name="fecha_nac" localSheetId="0">calculadora!#REF!</definedName>
    <definedName name="fecha_nac">#REF!</definedName>
    <definedName name="fecha_nac_a">Cotización!$C$12</definedName>
    <definedName name="FECI" localSheetId="0">'[1]Cotización-Análisis_personal'!$C$25</definedName>
    <definedName name="FECI">'[2]Cotización-Análisis_personal'!$C$25</definedName>
    <definedName name="Feci1" localSheetId="0">calculadora!#REF!</definedName>
    <definedName name="Feci1">#REF!</definedName>
    <definedName name="Feria">Datos_lista!$H$15:$H$17</definedName>
    <definedName name="feria_elegir">Cotización!$C$26</definedName>
    <definedName name="Forma_pago" localSheetId="0">[1]Información_listas!$H$5:$H$8</definedName>
    <definedName name="Forma_pago">Datos_lista!$E$4:$E$7</definedName>
    <definedName name="letra_auto">'Cotización-análisis_auto'!$I$21</definedName>
    <definedName name="mantiene_póliza">Cotización!$M$28</definedName>
    <definedName name="Mantiene_póliza_vigente">Datos_lista!$F$15:$F$17</definedName>
    <definedName name="Marca_auto">'Cotización-análisis_auto'!#REF!</definedName>
    <definedName name="Menosde15abonominimo">Datos_lista!$J$42:$J$43</definedName>
    <definedName name="MENSUALIDAD" localSheetId="3">ROUND(-PMT(('Liquidación empl'!#REF!/100)/12,'Liquidación empl'!$G$12,'Liquidación empl'!A1048571)+IF('Liquidación empl'!#REF!=2,((('Liquidación empl'!#REF!/100)*'Liquidación empl'!A1048571/360)*30*INT('Liquidación empl'!$G$12/12))/'Liquidación empl'!$G$12,0),2)</definedName>
    <definedName name="MENSUALIDAD">ROUND(-PMT(Cotización!$E$40/12,Cotización!$E$41,Cotización!$E$37)+IF(Cotización!$N$12=1,((Cotización!$E$40*(Cotización!$E$37/360))*30*INT(Cotización!$E$41/12))/Cotización!$E$41,0),2)</definedName>
    <definedName name="MENSUALIDAD2" localSheetId="0">ROUND(-PMT((calculadora!$E$14)/12,calculadora!$E$9,calculadora!$E$11)+IF(calculadora!$H$3=2,((calculadora!$E$14*(calculadora!$E$11/360))*30*INT(calculadora!$E$9/12))/calculadora!$E$9,0),2)</definedName>
    <definedName name="MENSUALIDAD2">ROUND(-PMT((#REF!)/12,#REF!,#REF!)+IF(#REF!=2,((#REF!*(#REF!/360))*30*INT(#REF!/12))/#REF!,0),2)</definedName>
    <definedName name="Mercado">Datos_lista!$B$23:$B$27</definedName>
    <definedName name="mercado_obj" localSheetId="0">'[1]Cotización-Análisis_personal'!#REF!</definedName>
    <definedName name="mercado_obj">'[2]Cotización-Análisis_personal'!#REF!</definedName>
    <definedName name="mercado_obj_a" localSheetId="4">'Cotización-análisis_auto'!#REF!</definedName>
    <definedName name="mercado_obj_a">'Cotización-análisis_auto'!#REF!</definedName>
    <definedName name="mhtml_http___miredestrella_TasasyCargos_Documents_Tasas_20y_20Plazos_20junio_202016.mht" comment="ljhñuo">calculadora!$F$12</definedName>
    <definedName name="modelo_auto">'Cotización-análisis_auto'!#REF!</definedName>
    <definedName name="monto2">Cotización!$E$37</definedName>
    <definedName name="Nombre" localSheetId="0">calculadora!#REF!</definedName>
    <definedName name="Nombre">#REF!</definedName>
    <definedName name="Nombre_a">Cotización!$C$8</definedName>
    <definedName name="nombre_ejecnego" localSheetId="0">'[1]Cotización-Análisis_personal'!#REF!</definedName>
    <definedName name="nombre_ejecnego">'[2]Cotización-Análisis_personal'!#REF!</definedName>
    <definedName name="nombre_feria">Cotización!$C$28</definedName>
    <definedName name="num_colab" localSheetId="0">'[1]Cotización-Análisis_personal'!$C$12</definedName>
    <definedName name="num_colab">'[2]Cotización-Análisis_personal'!$C$12</definedName>
    <definedName name="num_colab_ejec" localSheetId="0">'[1]Cotización-Análisis_personal'!#REF!</definedName>
    <definedName name="num_colab_ejec">'[2]Cotización-Análisis_personal'!#REF!</definedName>
    <definedName name="num_colab_ejec_a" localSheetId="4">'Cotización-análisis_auto'!#REF!</definedName>
    <definedName name="num_colab_ejec_a">'Cotización-análisis_auto'!#REF!</definedName>
    <definedName name="num_ente" localSheetId="0">'[1]Cotización-Análisis_personal'!$K$6</definedName>
    <definedName name="num_ente">'[2]Cotización-Análisis_personal'!$K$6</definedName>
    <definedName name="num_ente_a">'Cotización-análisis_auto'!#REF!</definedName>
    <definedName name="opcion">[2]Información_listas!#REF!</definedName>
    <definedName name="pabonominimo">(calculadora!$E$7*0.1)</definedName>
    <definedName name="pago_elegir" localSheetId="0">calculadora!#REF!</definedName>
    <definedName name="pago_elegir">#REF!</definedName>
    <definedName name="pago_elige">Cotización!$K$12</definedName>
    <definedName name="Plaz">Datos_lista!$I$4:$I$14</definedName>
    <definedName name="Plazo">Datos_lista!$I$4:$I$14</definedName>
    <definedName name="plazo_auto">Cotización!$E$41</definedName>
    <definedName name="plazo_dic" localSheetId="0">calculadora!#REF!</definedName>
    <definedName name="plazo_dic">#REF!</definedName>
    <definedName name="plazo_diciembre">Cotización!#REF!</definedName>
    <definedName name="Plazos">Datos_lista!$G$29:$G$31</definedName>
    <definedName name="póliza">Cotización!$K$24</definedName>
    <definedName name="Póliza_auto">Datos_lista!$G$15:$G$17</definedName>
    <definedName name="préstamo" localSheetId="0">'[1]Cotización-Análisis_personal'!#REF!</definedName>
    <definedName name="préstamo">'[2]Cotización-Análisis_personal'!#REF!</definedName>
    <definedName name="préstamo_a" localSheetId="4">'Cotización-análisis_auto'!#REF!</definedName>
    <definedName name="préstamo_a">'Cotización-análisis_auto'!#REF!</definedName>
    <definedName name="Propósito" localSheetId="0">[1]Información_listas!$I$5:$I$13</definedName>
    <definedName name="Propósito">Datos_lista!$F$4:$F$12</definedName>
    <definedName name="Propósito_auto">'Cotización-análisis_auto'!#REF!</definedName>
    <definedName name="propósito_prest" localSheetId="0">'[1]Cotización-Análisis_personal'!$B$58</definedName>
    <definedName name="propósito_prest">'[2]Cotización-Análisis_personal'!$B$58</definedName>
    <definedName name="propositos" localSheetId="0">[1]Información_listas!$I$5:$I$14</definedName>
    <definedName name="propositos">[2]Información_listas!$I$5:$I$14</definedName>
    <definedName name="recargo" localSheetId="0">'[1]Cotización-Análisis_personal'!$K$14</definedName>
    <definedName name="recargo">'[2]Cotización-Análisis_personal'!$K$14</definedName>
    <definedName name="recargo_a">Cotización!$K$16</definedName>
    <definedName name="recargo1" localSheetId="0">calculadora!#REF!</definedName>
    <definedName name="recargo1">#REF!</definedName>
    <definedName name="referencias_a">'Cotización-análisis_auto'!#REF!</definedName>
    <definedName name="salario" localSheetId="0">calculadora!#REF!</definedName>
    <definedName name="salario">#REF!</definedName>
    <definedName name="salario2">Cotización!$K$18</definedName>
    <definedName name="seg_auto">Cotización!$E$45</definedName>
    <definedName name="Seguro" localSheetId="0">[1]Información_listas!$C$15:$C$17</definedName>
    <definedName name="Seguro">Datos_lista!$G$4:$G$6</definedName>
    <definedName name="seguro_selec">Cotización!$K$14</definedName>
    <definedName name="seguro_selección" localSheetId="0">#REF!</definedName>
    <definedName name="seguro_selección">#REF!</definedName>
    <definedName name="seguro_seleccionar" localSheetId="0">calculadora!#REF!</definedName>
    <definedName name="seguro_seleccionar">#REF!</definedName>
    <definedName name="tasa_banco" localSheetId="0">'[1]Cotización-Análisis_personal'!$C$23</definedName>
    <definedName name="tasa_banco">'[2]Cotización-Análisis_personal'!$C$23</definedName>
    <definedName name="tasa1" localSheetId="0">calculadora!$E$12</definedName>
    <definedName name="tasa1">#REF!</definedName>
    <definedName name="tasa2">Cotización!$E$38</definedName>
    <definedName name="Tasas" localSheetId="0">[1]Información_listas!$D$15:$D$18</definedName>
    <definedName name="Tasas">[3]Información_listas!$D$15:$D$18</definedName>
    <definedName name="tiempo_actual" localSheetId="0">calculadora!#REF!</definedName>
    <definedName name="tiempo_actual">#REF!</definedName>
    <definedName name="tiempo_actual_a">Cotización!$C$20</definedName>
    <definedName name="tiempo_anterior" localSheetId="0">calculadora!#REF!</definedName>
    <definedName name="tiempo_anterior">#REF!</definedName>
    <definedName name="tiempo_anterior_a">Cotización!$C$22</definedName>
    <definedName name="tipo">[2]Información_listas!$P$17:$P$18</definedName>
    <definedName name="tipo_auto">'Cotización-análisis_auto'!#REF!</definedName>
    <definedName name="Tipo_contacto" localSheetId="0">[1]Información_listas!$D$23:$D$26</definedName>
    <definedName name="Tipo_contacto">Datos_lista!$E$15:$E$18</definedName>
    <definedName name="tipo_de_préstamo">Datos_lista!$D$4:$D$6</definedName>
    <definedName name="tipo_excepción_a">'Cotización-análisis_auto'!#REF!</definedName>
    <definedName name="Tipo_préstamo">Datos_lista!$C$4:$C$7</definedName>
    <definedName name="tipo_Referencias" localSheetId="0">[1]Información_listas!$C$23:$C$26</definedName>
    <definedName name="tipo_Referencias">Datos_lista!$D$15:$D$18</definedName>
    <definedName name="trabajo" localSheetId="0">calculadora!#REF!</definedName>
    <definedName name="trabajo">#REF!</definedName>
    <definedName name="trabajo_a">Cotización!$C$18</definedName>
    <definedName name="valor_auto">Cotización!$K$22</definedName>
    <definedName name="Ver">calculadora!$F$12</definedName>
    <definedName name="Ver_Tasas">calculadora!$F$12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8" l="1"/>
  <c r="E13" i="8"/>
  <c r="E11" i="8" l="1"/>
  <c r="F7" i="8"/>
  <c r="A43" i="3"/>
  <c r="G44" i="3"/>
  <c r="F8" i="8"/>
  <c r="E34" i="5" l="1"/>
  <c r="K22" i="5"/>
  <c r="G49" i="3"/>
  <c r="E41" i="5" l="1"/>
  <c r="E39" i="5"/>
  <c r="G46" i="3" l="1"/>
  <c r="G47" i="3"/>
  <c r="G43" i="3"/>
  <c r="G48" i="3"/>
  <c r="G45" i="3"/>
  <c r="G42" i="3"/>
  <c r="L169" i="1"/>
  <c r="L170" i="1"/>
  <c r="L171" i="1"/>
  <c r="L172" i="1"/>
  <c r="L173" i="1"/>
  <c r="L174" i="1"/>
  <c r="L175" i="1"/>
  <c r="J169" i="1"/>
  <c r="J170" i="1"/>
  <c r="J171" i="1"/>
  <c r="J172" i="1"/>
  <c r="J173" i="1"/>
  <c r="J174" i="1"/>
  <c r="J175" i="1"/>
  <c r="E169" i="1"/>
  <c r="E170" i="1"/>
  <c r="E171" i="1"/>
  <c r="E172" i="1"/>
  <c r="E173" i="1"/>
  <c r="E174" i="1"/>
  <c r="E175" i="1"/>
  <c r="A169" i="1"/>
  <c r="A170" i="1"/>
  <c r="A171" i="1"/>
  <c r="A172" i="1"/>
  <c r="A173" i="1"/>
  <c r="A174" i="1"/>
  <c r="A175" i="1"/>
  <c r="M11" i="7"/>
  <c r="M8" i="7"/>
  <c r="M7" i="7"/>
  <c r="M23" i="7" s="1"/>
  <c r="M6" i="7"/>
  <c r="P30" i="7"/>
  <c r="B20" i="7"/>
  <c r="H12" i="7"/>
  <c r="B8" i="7"/>
  <c r="B14" i="7" s="1"/>
  <c r="C5" i="7"/>
  <c r="K197" i="1"/>
  <c r="J20" i="1"/>
  <c r="J123" i="1" s="1"/>
  <c r="L12" i="1"/>
  <c r="K115" i="1" s="1"/>
  <c r="G133" i="1"/>
  <c r="B133" i="1"/>
  <c r="N123" i="1"/>
  <c r="N113" i="1"/>
  <c r="N111" i="1"/>
  <c r="G129" i="1"/>
  <c r="G127" i="1"/>
  <c r="G125" i="1"/>
  <c r="G123" i="1"/>
  <c r="G121" i="1"/>
  <c r="G119" i="1"/>
  <c r="G117" i="1"/>
  <c r="G115" i="1"/>
  <c r="G113" i="1"/>
  <c r="G111" i="1"/>
  <c r="G109" i="1"/>
  <c r="C129" i="1"/>
  <c r="C127" i="1"/>
  <c r="C125" i="1"/>
  <c r="C121" i="1"/>
  <c r="C119" i="1"/>
  <c r="C199" i="1"/>
  <c r="C197" i="1"/>
  <c r="L74" i="1"/>
  <c r="J74" i="1"/>
  <c r="L167" i="1"/>
  <c r="L168" i="1"/>
  <c r="L166" i="1"/>
  <c r="J167" i="1"/>
  <c r="J168" i="1"/>
  <c r="J166" i="1"/>
  <c r="E167" i="1"/>
  <c r="E168" i="1"/>
  <c r="E166" i="1"/>
  <c r="A167" i="1"/>
  <c r="A168" i="1"/>
  <c r="A166" i="1"/>
  <c r="L16" i="1"/>
  <c r="K119" i="1" s="1"/>
  <c r="L14" i="1"/>
  <c r="K117" i="1" s="1"/>
  <c r="H150" i="1"/>
  <c r="H146" i="1"/>
  <c r="H144" i="1"/>
  <c r="C117" i="1"/>
  <c r="C115" i="1"/>
  <c r="C113" i="1"/>
  <c r="H42" i="1"/>
  <c r="C20" i="1"/>
  <c r="C123" i="1" s="1"/>
  <c r="C14" i="1"/>
  <c r="C12" i="1"/>
  <c r="C10" i="1"/>
  <c r="C8" i="1"/>
  <c r="C111" i="1" s="1"/>
  <c r="C6" i="1"/>
  <c r="C109" i="1" s="1"/>
  <c r="H48" i="1"/>
  <c r="A44" i="3" l="1"/>
  <c r="E12" i="8" s="1"/>
  <c r="B9" i="7"/>
  <c r="L176" i="1"/>
  <c r="J176" i="1"/>
  <c r="K20" i="1"/>
  <c r="K123" i="1" s="1"/>
  <c r="C158" i="1"/>
  <c r="H158" i="1" s="1"/>
  <c r="M162" i="1"/>
  <c r="M160" i="1"/>
  <c r="C160" i="1"/>
  <c r="H160" i="1" s="1"/>
  <c r="M158" i="1"/>
  <c r="C156" i="1"/>
  <c r="C138" i="1"/>
  <c r="C140" i="1" s="1"/>
  <c r="D76" i="1"/>
  <c r="D178" i="1" s="1"/>
  <c r="E38" i="5" l="1"/>
  <c r="C150" i="1" s="1"/>
  <c r="E14" i="8"/>
  <c r="H162" i="1"/>
  <c r="H156" i="1"/>
  <c r="C142" i="1"/>
  <c r="C152" i="1"/>
  <c r="C154" i="1" l="1"/>
  <c r="C56" i="1"/>
  <c r="N19" i="7" s="1"/>
  <c r="E50" i="5"/>
  <c r="C58" i="1" s="1"/>
  <c r="N24" i="5" l="1"/>
  <c r="M56" i="1"/>
  <c r="C54" i="1"/>
  <c r="M15" i="7" s="1"/>
  <c r="C48" i="1"/>
  <c r="C36" i="1"/>
  <c r="E30" i="5"/>
  <c r="E31" i="5" s="1"/>
  <c r="H44" i="1"/>
  <c r="M60" i="1"/>
  <c r="N14" i="5"/>
  <c r="M58" i="1"/>
  <c r="N12" i="5"/>
  <c r="E32" i="5" l="1"/>
  <c r="E37" i="5" l="1"/>
  <c r="E54" i="5" s="1"/>
  <c r="E35" i="5"/>
  <c r="C14" i="5"/>
  <c r="E40" i="5" l="1"/>
  <c r="C144" i="1"/>
  <c r="C42" i="1"/>
  <c r="E48" i="5"/>
  <c r="C146" i="1" l="1"/>
  <c r="C148" i="1"/>
  <c r="E47" i="5"/>
  <c r="E51" i="5" l="1"/>
  <c r="E52" i="5" l="1"/>
  <c r="C50" i="1" l="1"/>
  <c r="C38" i="1" l="1"/>
  <c r="C40" i="1" s="1"/>
  <c r="C52" i="1"/>
  <c r="M13" i="7" s="1"/>
  <c r="C46" i="1" l="1"/>
  <c r="P23" i="7" s="1"/>
  <c r="C44" i="1"/>
  <c r="H56" i="1" l="1"/>
  <c r="H54" i="1" l="1"/>
  <c r="H58" i="1" l="1"/>
  <c r="H60" i="1"/>
  <c r="H138" i="1" l="1"/>
  <c r="C162" i="1" s="1"/>
  <c r="E55" i="5"/>
  <c r="E57" i="5" s="1"/>
  <c r="E15" i="8" s="1"/>
  <c r="H36" i="1"/>
  <c r="E16" i="8" l="1"/>
  <c r="E58" i="5"/>
  <c r="K20" i="5" s="1"/>
  <c r="C60" i="1"/>
  <c r="N18" i="7"/>
  <c r="P20" i="7" s="1"/>
  <c r="P17" i="7" s="1"/>
  <c r="H142" i="1" l="1"/>
  <c r="H40" i="1"/>
  <c r="M14" i="7" l="1"/>
  <c r="D77" i="1"/>
  <c r="K26" i="1"/>
  <c r="I78" i="1" l="1"/>
  <c r="I180" i="1" s="1"/>
  <c r="D78" i="1"/>
  <c r="D179" i="1"/>
  <c r="K129" i="1"/>
  <c r="N26" i="1"/>
  <c r="N129" i="1" s="1"/>
  <c r="F78" i="1" l="1"/>
  <c r="F180" i="1" s="1"/>
  <c r="D180" i="1"/>
</calcChain>
</file>

<file path=xl/comments1.xml><?xml version="1.0" encoding="utf-8"?>
<comments xmlns="http://schemas.openxmlformats.org/spreadsheetml/2006/main">
  <authors>
    <author>Elisa</author>
  </authors>
  <commentList>
    <comment ref="I8" authorId="0" shapeId="0">
      <text>
        <r>
          <rPr>
            <b/>
            <sz val="10"/>
            <color indexed="81"/>
            <rFont val="Tahoma"/>
            <family val="2"/>
          </rPr>
          <t>Escribir fecha en orden de mm/dd/aaaa</t>
        </r>
      </text>
    </comment>
    <comment ref="A12" authorId="0" shapeId="0">
      <text>
        <r>
          <rPr>
            <b/>
            <sz val="10"/>
            <color indexed="81"/>
            <rFont val="Tahoma"/>
            <family val="2"/>
          </rPr>
          <t>Escribir fecha en orden de mm/dd/aaaa</t>
        </r>
      </text>
    </comment>
  </commentList>
</comments>
</file>

<file path=xl/comments2.xml><?xml version="1.0" encoding="utf-8"?>
<comments xmlns="http://schemas.openxmlformats.org/spreadsheetml/2006/main">
  <authors>
    <author>Elisa</author>
  </authors>
  <commentList>
    <comment ref="J58" authorId="0" shapeId="0">
      <text>
        <r>
          <rPr>
            <b/>
            <sz val="9"/>
            <color indexed="81"/>
            <rFont val="Tahoma"/>
            <family val="2"/>
          </rPr>
          <t>Aparecerá un 1 si el pago es por descuento directo; 2 si es cargo a cuenta, y 3 si es pago voluntario, siempre que lo seleccione en la hoja de cotización.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Si selecciona, en la hoja de cotización, General de seguros, aparecerá un 1, si es Otras aseguradoras, saldrá un 2, si no elige se mostrará 0.</t>
        </r>
      </text>
    </comment>
    <comment ref="J160" authorId="0" shapeId="0">
      <text>
        <r>
          <rPr>
            <b/>
            <sz val="9"/>
            <color indexed="81"/>
            <rFont val="Tahoma"/>
            <family val="2"/>
          </rPr>
          <t>Aparecerá un 1 si el pago es por descuento directo; 2 si es cargo a cuenta, y 3 si es pago voluntario, siempre que lo seleccione en la hoja de cotización.</t>
        </r>
      </text>
    </comment>
    <comment ref="J162" authorId="0" shapeId="0">
      <text>
        <r>
          <rPr>
            <b/>
            <sz val="9"/>
            <color indexed="81"/>
            <rFont val="Tahoma"/>
            <family val="2"/>
          </rPr>
          <t>Si selecciona, en la hoja de cotización, General de seguros, aparecerá un 1, si es Otras aseguradoras, saldrá un 2, si no elige se mostrará 0.</t>
        </r>
      </text>
    </comment>
  </commentList>
</comments>
</file>

<file path=xl/sharedStrings.xml><?xml version="1.0" encoding="utf-8"?>
<sst xmlns="http://schemas.openxmlformats.org/spreadsheetml/2006/main" count="427" uniqueCount="274">
  <si>
    <t>N° de cotizaciones</t>
  </si>
  <si>
    <t>Nombre</t>
  </si>
  <si>
    <t>Categoría de trámite</t>
  </si>
  <si>
    <t>Mercado</t>
  </si>
  <si>
    <t>Mercado objetivo</t>
  </si>
  <si>
    <t>Forma de pago</t>
  </si>
  <si>
    <t>Oferta Finanzas Generales</t>
  </si>
  <si>
    <t>Tabla de Cálculo actuariales</t>
  </si>
  <si>
    <t>Años</t>
  </si>
  <si>
    <t>Costo x Mil</t>
  </si>
  <si>
    <t>Tasa a cobrar</t>
  </si>
  <si>
    <t>Tasa del Banco</t>
  </si>
  <si>
    <t>F.E.C.I.</t>
  </si>
  <si>
    <t>Mensualidad</t>
  </si>
  <si>
    <t>Producto</t>
  </si>
  <si>
    <t>Total</t>
  </si>
  <si>
    <t>Tasa</t>
  </si>
  <si>
    <t>Correo</t>
  </si>
  <si>
    <t>Gastos Legales</t>
  </si>
  <si>
    <t>I.T.B.M.</t>
  </si>
  <si>
    <t>Costo Total</t>
  </si>
  <si>
    <t>Total a Financiar</t>
  </si>
  <si>
    <t>Total Mensualidad</t>
  </si>
  <si>
    <t>Nombre de Feria</t>
  </si>
  <si>
    <t>Capacidad</t>
  </si>
  <si>
    <t>%</t>
  </si>
  <si>
    <t>Auto</t>
  </si>
  <si>
    <t>Empresa</t>
  </si>
  <si>
    <t>Tipo_préstamo</t>
  </si>
  <si>
    <t>Clasif_tipo_préstamo</t>
  </si>
  <si>
    <t>Banco General</t>
  </si>
  <si>
    <t>Personal</t>
  </si>
  <si>
    <t>Nuevo</t>
  </si>
  <si>
    <t>BG Valores</t>
  </si>
  <si>
    <t>General de Seguros</t>
  </si>
  <si>
    <t>Prendario</t>
  </si>
  <si>
    <t>Profuturo</t>
  </si>
  <si>
    <t>Forma_pago</t>
  </si>
  <si>
    <t>Propósito</t>
  </si>
  <si>
    <t>Descuento directo</t>
  </si>
  <si>
    <t>Compra de Muebles y Enseres</t>
  </si>
  <si>
    <t>Reparaciones</t>
  </si>
  <si>
    <t>Otros Fines de Consumo</t>
  </si>
  <si>
    <t>Vacaciones y Entretenimiento</t>
  </si>
  <si>
    <t>Consolidación de Deudas</t>
  </si>
  <si>
    <t>Gastos Médicos</t>
  </si>
  <si>
    <t>Compra de Vehículo</t>
  </si>
  <si>
    <t>Remodelación y/o Mejoras a la Vivienda</t>
  </si>
  <si>
    <t>Seguro</t>
  </si>
  <si>
    <t>GS</t>
  </si>
  <si>
    <t>Categoría_trámite</t>
  </si>
  <si>
    <t>C1</t>
  </si>
  <si>
    <t>C2</t>
  </si>
  <si>
    <t>C3</t>
  </si>
  <si>
    <t>C4</t>
  </si>
  <si>
    <t>C5</t>
  </si>
  <si>
    <t>Ejec_negocios</t>
  </si>
  <si>
    <t>Karen Reece</t>
  </si>
  <si>
    <t>Leonides Gutiérrez</t>
  </si>
  <si>
    <t>Cristian García</t>
  </si>
  <si>
    <t>Yahaira De La Cruz</t>
  </si>
  <si>
    <t>tipo_Referencias</t>
  </si>
  <si>
    <t>Tipo_contacto</t>
  </si>
  <si>
    <t>Buenas</t>
  </si>
  <si>
    <t>Teléfono</t>
  </si>
  <si>
    <t>Regulares</t>
  </si>
  <si>
    <t>Mayores</t>
  </si>
  <si>
    <t>Atención directa</t>
  </si>
  <si>
    <t>Póliza_auto</t>
  </si>
  <si>
    <t xml:space="preserve">Otras Aseg. </t>
  </si>
  <si>
    <t>Feria</t>
  </si>
  <si>
    <t xml:space="preserve">Sí </t>
  </si>
  <si>
    <t>No</t>
  </si>
  <si>
    <t>Sí</t>
  </si>
  <si>
    <t>Mantiene_póliza_vigente</t>
  </si>
  <si>
    <t>Prima neta Seguro</t>
  </si>
  <si>
    <t>5% de Seguro</t>
  </si>
  <si>
    <t>Elegir</t>
  </si>
  <si>
    <t>Elegir una opción</t>
  </si>
  <si>
    <t>Plazo</t>
  </si>
  <si>
    <t>Sedán</t>
  </si>
  <si>
    <t>SUV</t>
  </si>
  <si>
    <t>4x4</t>
  </si>
  <si>
    <t>Cargo a cuenta</t>
  </si>
  <si>
    <t>Xochil Ortega</t>
  </si>
  <si>
    <t>Mercado no revisado</t>
  </si>
  <si>
    <t>Mercado por revisar</t>
  </si>
  <si>
    <t>Pago voluntario</t>
  </si>
  <si>
    <t>Cotización</t>
  </si>
  <si>
    <t xml:space="preserve">Nombre del cliente: </t>
  </si>
  <si>
    <t xml:space="preserve">Fecha de cotización </t>
  </si>
  <si>
    <t>Cédula:</t>
  </si>
  <si>
    <t>Fecha de Nacimiento</t>
  </si>
  <si>
    <t>Forma de Pago:</t>
  </si>
  <si>
    <t>Edad:</t>
  </si>
  <si>
    <t>Seguro de vida:</t>
  </si>
  <si>
    <t>Posición:</t>
  </si>
  <si>
    <t>Lugar de trabajo:</t>
  </si>
  <si>
    <t>Años de servicio actual:</t>
  </si>
  <si>
    <t>Monto a Prestar:</t>
  </si>
  <si>
    <t>Tasa:</t>
  </si>
  <si>
    <t>FECI:</t>
  </si>
  <si>
    <t>Tasa a cobrar:</t>
  </si>
  <si>
    <t>Plazo:</t>
  </si>
  <si>
    <t>Mensualidad:</t>
  </si>
  <si>
    <t>Seguro de vida-sin recargo</t>
  </si>
  <si>
    <t>Prima Neta</t>
  </si>
  <si>
    <t>5% de seguro</t>
  </si>
  <si>
    <t>Seguro de vida-con recargo</t>
  </si>
  <si>
    <t>Préstamo de Auto - Comité de Crédito</t>
  </si>
  <si>
    <t>Préstamo de Auto - Capital Humano</t>
  </si>
  <si>
    <t xml:space="preserve">Fecha </t>
  </si>
  <si>
    <t>Seg. Vida-sin recargo</t>
  </si>
  <si>
    <t>Seg. Vida-con recargo</t>
  </si>
  <si>
    <t>Forma pago</t>
  </si>
  <si>
    <t>% de Abono</t>
  </si>
  <si>
    <t xml:space="preserve">Seguro </t>
  </si>
  <si>
    <t>Costo de Auto</t>
  </si>
  <si>
    <t>Abono Inicial</t>
  </si>
  <si>
    <t>Años de servicio anterior:</t>
  </si>
  <si>
    <t xml:space="preserve">Lugar de trabajo anterior: </t>
  </si>
  <si>
    <t>Otras aseguradora:</t>
  </si>
  <si>
    <t>Póliza de auto:</t>
  </si>
  <si>
    <t>Valor del automóvil:</t>
  </si>
  <si>
    <t>Capacidad de pago:</t>
  </si>
  <si>
    <t>Ingreso Mensual:</t>
  </si>
  <si>
    <t>Recargo seguro de vida:</t>
  </si>
  <si>
    <t xml:space="preserve">Feria de autos: </t>
  </si>
  <si>
    <t>Mantiene póliza por la vigecia del préstamo</t>
  </si>
  <si>
    <t>Póliza</t>
  </si>
  <si>
    <t>Prima neta con recargo</t>
  </si>
  <si>
    <t>Más</t>
  </si>
  <si>
    <t>Préstamo de Auto</t>
  </si>
  <si>
    <t xml:space="preserve">Usado </t>
  </si>
  <si>
    <t>Para uso del colaborador:</t>
  </si>
  <si>
    <t>De estar de acuerdo con la cotización, deberá firmar la misma y adjuntar a los documentos para aplicar al préstamo.</t>
  </si>
  <si>
    <t xml:space="preserve">Firma del colaborador </t>
  </si>
  <si>
    <t xml:space="preserve">Abono </t>
  </si>
  <si>
    <t xml:space="preserve">Capacidad de pago </t>
  </si>
  <si>
    <t xml:space="preserve">Capacidad de pago y continuidad laboral </t>
  </si>
  <si>
    <t xml:space="preserve">Capacidad de pago y nivel de endeudamiento </t>
  </si>
  <si>
    <t xml:space="preserve">Continuidad laboral </t>
  </si>
  <si>
    <t xml:space="preserve">Estabilidad laboral </t>
  </si>
  <si>
    <t xml:space="preserve">Estabilidad y continuidad laboral </t>
  </si>
  <si>
    <t xml:space="preserve">Financiamiento </t>
  </si>
  <si>
    <t xml:space="preserve">Forma de pago </t>
  </si>
  <si>
    <t xml:space="preserve">Nivel de endeudamiento </t>
  </si>
  <si>
    <t xml:space="preserve">Plazo </t>
  </si>
  <si>
    <t xml:space="preserve">Referencias de crédito </t>
  </si>
  <si>
    <t xml:space="preserve">Refinanciamiento anticipado </t>
  </si>
  <si>
    <t xml:space="preserve">Seguro de vida </t>
  </si>
  <si>
    <t>saldo</t>
  </si>
  <si>
    <t>Deudor 1</t>
  </si>
  <si>
    <t>Deudor 2</t>
  </si>
  <si>
    <t xml:space="preserve">Salario </t>
  </si>
  <si>
    <t xml:space="preserve">Parentesco </t>
  </si>
  <si>
    <t>Conductor Designado  (si aplica)</t>
  </si>
  <si>
    <t xml:space="preserve">Valor del auto </t>
  </si>
  <si>
    <t>Compromisos mensuales del cliente</t>
  </si>
  <si>
    <t xml:space="preserve">Institución </t>
  </si>
  <si>
    <t xml:space="preserve">Capacidad de pago final </t>
  </si>
  <si>
    <t xml:space="preserve">Letra de auto vigente </t>
  </si>
  <si>
    <t xml:space="preserve">Cálculo del Nivel de Endeudamiento </t>
  </si>
  <si>
    <t xml:space="preserve">Compromisos actuales </t>
  </si>
  <si>
    <t xml:space="preserve">Mensualidad nueva </t>
  </si>
  <si>
    <t xml:space="preserve">% de Endeudamiento Total </t>
  </si>
  <si>
    <t>Excepciones</t>
  </si>
  <si>
    <t xml:space="preserve">Recomendaciones para comité de crédito / Observaciones </t>
  </si>
  <si>
    <t>Firma</t>
  </si>
  <si>
    <t>Observaciones de comité</t>
  </si>
  <si>
    <t xml:space="preserve">Nombre del Ejecutivo </t>
  </si>
  <si>
    <t xml:space="preserve">Firma del ejecutivo </t>
  </si>
  <si>
    <t xml:space="preserve">Nombre apueba </t>
  </si>
  <si>
    <t xml:space="preserve">Firma aprueba </t>
  </si>
  <si>
    <t>|</t>
  </si>
  <si>
    <t>Otra aseguradora</t>
  </si>
  <si>
    <t xml:space="preserve">Seguro de auto </t>
  </si>
  <si>
    <t xml:space="preserve">Base a financiar </t>
  </si>
  <si>
    <t xml:space="preserve">Objetivo </t>
  </si>
  <si>
    <t>Clasificación:</t>
  </si>
  <si>
    <t>Nombre:</t>
  </si>
  <si>
    <t>Años de servicio:</t>
  </si>
  <si>
    <t>Trabaja en /Cía.:</t>
  </si>
  <si>
    <t>Salario/Ingresos:</t>
  </si>
  <si>
    <t>Mercado:</t>
  </si>
  <si>
    <t>Continuidad:</t>
  </si>
  <si>
    <t>Agencia:</t>
  </si>
  <si>
    <t>Tipo de Auto:</t>
  </si>
  <si>
    <t>Modelo:</t>
  </si>
  <si>
    <t>Parentesco:</t>
  </si>
  <si>
    <t>Marca:</t>
  </si>
  <si>
    <t>Año del auto:</t>
  </si>
  <si>
    <t xml:space="preserve">N°. Ente: </t>
  </si>
  <si>
    <t>N°.  Colaborador:</t>
  </si>
  <si>
    <t>Feria de Autos:</t>
  </si>
  <si>
    <t>Nombre de Feria:</t>
  </si>
  <si>
    <t xml:space="preserve">Menos abono </t>
  </si>
  <si>
    <t>Base a financiar</t>
  </si>
  <si>
    <t>Condición final del cliente</t>
  </si>
  <si>
    <t>Saldo</t>
  </si>
  <si>
    <t xml:space="preserve">% de capacidad de pago </t>
  </si>
  <si>
    <t>Tipo de contacto</t>
  </si>
  <si>
    <t>No. Emp.</t>
  </si>
  <si>
    <t>CALCULO DE PRESTAMOS - FINANZAS GENERALES, S.A.</t>
  </si>
  <si>
    <t>PRE-LIQUIDACION</t>
  </si>
  <si>
    <t>FINANZAS GENERALES, S.A.</t>
  </si>
  <si>
    <t>Día</t>
  </si>
  <si>
    <t>EMPLEADO NO:</t>
  </si>
  <si>
    <t>NOMBRE:</t>
  </si>
  <si>
    <t>FECHA LIQUIDACION</t>
  </si>
  <si>
    <t>CEDULA#:</t>
  </si>
  <si>
    <t>FECHA VENCIMIENTO</t>
  </si>
  <si>
    <t>DIRECCION:</t>
  </si>
  <si>
    <t>LUGAR DE TRABAJO:</t>
  </si>
  <si>
    <t>BANCO GENERAL</t>
  </si>
  <si>
    <t>No. DE ENTE:</t>
  </si>
  <si>
    <t>TIMBRES</t>
  </si>
  <si>
    <t>PLAZO (MESES)</t>
  </si>
  <si>
    <t>INFORMACION DEL PRESTAMO:</t>
  </si>
  <si>
    <t xml:space="preserve">  2= Dto. Directo</t>
  </si>
  <si>
    <t>MENSUALIDAD</t>
  </si>
  <si>
    <t xml:space="preserve">  3= Pago Vol.</t>
  </si>
  <si>
    <t xml:space="preserve">MENSUALIDAD: </t>
  </si>
  <si>
    <t>PLAZO</t>
  </si>
  <si>
    <t>1-SI  2-NO</t>
  </si>
  <si>
    <t xml:space="preserve">FORMA DE PAGO </t>
  </si>
  <si>
    <t>Cargo a Cuenta</t>
  </si>
  <si>
    <t xml:space="preserve"> </t>
  </si>
  <si>
    <t>MONTO TOTAL:</t>
  </si>
  <si>
    <t>MENOS GASTOS:</t>
  </si>
  <si>
    <t xml:space="preserve">GASTOS LEGALES </t>
  </si>
  <si>
    <t>SEGURO VIDA:</t>
  </si>
  <si>
    <t xml:space="preserve">AGENCIA: </t>
  </si>
  <si>
    <t>CANTIDAD</t>
  </si>
  <si>
    <t xml:space="preserve">PREPARADO POR:    </t>
  </si>
  <si>
    <t>REVISADO POR:</t>
  </si>
  <si>
    <t>YAHAIRA DE LA CRUZ</t>
  </si>
  <si>
    <t>FECHA:</t>
  </si>
  <si>
    <t>LEONIDES GUTIERREZ</t>
  </si>
  <si>
    <t>LLENAR</t>
  </si>
  <si>
    <t>TASA: 5% + 1% DE FECI</t>
  </si>
  <si>
    <r>
      <rPr>
        <sz val="8"/>
        <color rgb="FFFF0000"/>
        <rFont val="Geneva"/>
      </rPr>
      <t>PETROAUTOS, S.A</t>
    </r>
    <r>
      <rPr>
        <sz val="8"/>
        <rFont val="Geneva"/>
      </rPr>
      <t>.  Compra de auto a/n de</t>
    </r>
  </si>
  <si>
    <t>Traspaso</t>
  </si>
  <si>
    <t>Ana E. Boyd</t>
  </si>
  <si>
    <t>Calculadora de</t>
  </si>
  <si>
    <t>para colaboradores</t>
  </si>
  <si>
    <t>Monto a prestar:</t>
  </si>
  <si>
    <t>Tasa con FECI</t>
  </si>
  <si>
    <t>Salario mínimo requerido:</t>
  </si>
  <si>
    <t>Valor del auto:</t>
  </si>
  <si>
    <t>TASA:</t>
  </si>
  <si>
    <t xml:space="preserve">Plazo - usado </t>
  </si>
  <si>
    <t xml:space="preserve">Plazo - nuevo </t>
  </si>
  <si>
    <t>Abono en %</t>
  </si>
  <si>
    <t xml:space="preserve">
</t>
  </si>
  <si>
    <t>Plazo Calculado</t>
  </si>
  <si>
    <t>Tasa correspondiente</t>
  </si>
  <si>
    <t>Precio</t>
  </si>
  <si>
    <t>hasta 14,999.99</t>
  </si>
  <si>
    <t>Abono</t>
  </si>
  <si>
    <t>10-19.99%</t>
  </si>
  <si>
    <t>Condición</t>
  </si>
  <si>
    <t>Tasa vigente de cliente menos 1%</t>
  </si>
  <si>
    <t>Made 15,000.00</t>
  </si>
  <si>
    <t>20-29.99%</t>
  </si>
  <si>
    <t>30-39.99%</t>
  </si>
  <si>
    <t>40%+</t>
  </si>
  <si>
    <t>Condición1</t>
  </si>
  <si>
    <t>Condición2</t>
  </si>
  <si>
    <t>préstamo de auto nuevo</t>
  </si>
  <si>
    <t xml:space="preserve">Abono inicial: </t>
  </si>
  <si>
    <r>
      <t>Plazo</t>
    </r>
    <r>
      <rPr>
        <sz val="10"/>
        <rFont val="Tahoma"/>
        <family val="2"/>
      </rPr>
      <t xml:space="preserve"> (en meses)</t>
    </r>
    <r>
      <rPr>
        <sz val="12"/>
        <rFont val="Tahoma"/>
        <family val="2"/>
      </rPr>
      <t>:</t>
    </r>
  </si>
  <si>
    <t>Mensualidad(sin seguro):</t>
  </si>
  <si>
    <r>
      <rPr>
        <b/>
        <sz val="8"/>
        <rFont val="Tahoma"/>
        <family val="2"/>
      </rPr>
      <t xml:space="preserve">                                                                           Aviso Importante</t>
    </r>
    <r>
      <rPr>
        <sz val="8"/>
        <rFont val="Tahoma"/>
        <family val="2"/>
      </rPr>
      <t xml:space="preserve">
• La finalidad de la calculadora es proveer datos básicos sobre cálculos
• Los resultados obtenidos mediante el uso de la misma deben ser discutidos con un Ejecutivo de Servicios Bancarios de Capital Humano 
• Capacidad de pago, máximo del 35% y nivel de endeudamiento de 50% sobre el salario, incluyendo otros compromisos de crédito  
• Esta herramienta solamente ilustra posibilidades y no necesariamente presentará datos exactos relacionados a sus circunstancias particulares 
• El Banco General, S.A.  realiza una evaluación de cada crédito, por lo que el cálculo realizado con esta herramienta no garantiza la aprobación de un préstamo en condiciones similares
• Las condiciones de la calculadora son sujetas a cambios, se recomienda el uso de la misma desde el sitio de Mi Red Estrella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</si>
</sst>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$-540A]#,##0.00"/>
    <numFmt numFmtId="167" formatCode="&quot;$&quot;#,##0.00"/>
    <numFmt numFmtId="168" formatCode="0.0000"/>
    <numFmt numFmtId="169" formatCode="&quot;B/.&quot;\ #,##0.00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000080"/>
      <name val="Tahoma"/>
      <family val="2"/>
    </font>
    <font>
      <sz val="12"/>
      <color rgb="FF000080"/>
      <name val="Tahoma"/>
      <family val="2"/>
    </font>
    <font>
      <sz val="11"/>
      <color rgb="FF000080"/>
      <name val="Calibri"/>
      <family val="2"/>
      <scheme val="minor"/>
    </font>
    <font>
      <b/>
      <sz val="12"/>
      <color indexed="18"/>
      <name val="Tahoma"/>
      <family val="2"/>
    </font>
    <font>
      <b/>
      <sz val="12"/>
      <color theme="2" tint="-0.499984740745262"/>
      <name val="Tahoma"/>
      <family val="2"/>
    </font>
    <font>
      <b/>
      <sz val="12"/>
      <color theme="1"/>
      <name val="Tahoma"/>
      <family val="2"/>
    </font>
    <font>
      <b/>
      <sz val="12"/>
      <color indexed="9"/>
      <name val="Tahoma"/>
      <family val="2"/>
    </font>
    <font>
      <sz val="10"/>
      <name val="Arial"/>
      <family val="2"/>
    </font>
    <font>
      <sz val="12"/>
      <color indexed="9"/>
      <name val="Tahoma"/>
      <family val="2"/>
    </font>
    <font>
      <b/>
      <sz val="12"/>
      <color theme="0"/>
      <name val="Tahoma"/>
      <family val="2"/>
    </font>
    <font>
      <b/>
      <sz val="9"/>
      <color indexed="18"/>
      <name val="Tahoma"/>
      <family val="2"/>
    </font>
    <font>
      <sz val="8"/>
      <color indexed="23"/>
      <name val="Tahoma"/>
      <family val="2"/>
    </font>
    <font>
      <sz val="10"/>
      <color indexed="23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Tahoma"/>
      <family val="2"/>
    </font>
    <font>
      <b/>
      <sz val="12"/>
      <color rgb="FFFF0000"/>
      <name val="Tahoma"/>
      <family val="2"/>
    </font>
    <font>
      <b/>
      <sz val="10"/>
      <color indexed="81"/>
      <name val="Tahoma"/>
      <family val="2"/>
    </font>
    <font>
      <b/>
      <sz val="13"/>
      <color rgb="FF808000"/>
      <name val="Tahoma"/>
      <family val="2"/>
    </font>
    <font>
      <sz val="16"/>
      <color theme="1"/>
      <name val="Tahoma"/>
      <family val="2"/>
    </font>
    <font>
      <sz val="12"/>
      <color theme="0"/>
      <name val="Tahoma"/>
      <family val="2"/>
    </font>
    <font>
      <sz val="12"/>
      <name val="Tahoma"/>
      <family val="2"/>
    </font>
    <font>
      <b/>
      <sz val="11"/>
      <color rgb="FFFF0000"/>
      <name val="Tahoma"/>
      <family val="2"/>
    </font>
    <font>
      <b/>
      <sz val="11"/>
      <color theme="0"/>
      <name val="Tahoma"/>
      <family val="2"/>
    </font>
    <font>
      <sz val="11"/>
      <color rgb="FF000080"/>
      <name val="Tahoma"/>
      <family val="2"/>
    </font>
    <font>
      <b/>
      <sz val="11"/>
      <color rgb="FF000080"/>
      <name val="Tahoma"/>
      <family val="2"/>
    </font>
    <font>
      <sz val="11"/>
      <color theme="0"/>
      <name val="Calibri"/>
      <family val="2"/>
      <scheme val="minor"/>
    </font>
    <font>
      <b/>
      <sz val="14"/>
      <color rgb="FF000080"/>
      <name val="Tahoma"/>
      <family val="2"/>
    </font>
    <font>
      <sz val="14"/>
      <color rgb="FF000080"/>
      <name val="Tahoma"/>
      <family val="2"/>
    </font>
    <font>
      <b/>
      <sz val="8"/>
      <color theme="0"/>
      <name val="Tahoma"/>
      <family val="2"/>
    </font>
    <font>
      <sz val="10"/>
      <name val="Geneva"/>
    </font>
    <font>
      <b/>
      <outline/>
      <u/>
      <sz val="12"/>
      <name val="Geneva"/>
    </font>
    <font>
      <shadow/>
      <sz val="16"/>
      <name val="New York"/>
    </font>
    <font>
      <shadow/>
      <sz val="18"/>
      <name val="New York"/>
    </font>
    <font>
      <sz val="10"/>
      <color indexed="14"/>
      <name val="Geneva"/>
    </font>
    <font>
      <sz val="9"/>
      <name val="Geneva"/>
    </font>
    <font>
      <sz val="10"/>
      <color indexed="10"/>
      <name val="Geneva"/>
    </font>
    <font>
      <b/>
      <sz val="10"/>
      <color indexed="8"/>
      <name val="Geneva"/>
    </font>
    <font>
      <b/>
      <sz val="12"/>
      <name val="Geneva"/>
    </font>
    <font>
      <sz val="12"/>
      <name val="Geneva"/>
    </font>
    <font>
      <sz val="7.5"/>
      <name val="Geneva"/>
    </font>
    <font>
      <b/>
      <sz val="9"/>
      <name val="Geneva"/>
    </font>
    <font>
      <b/>
      <sz val="10"/>
      <name val="Geneva"/>
    </font>
    <font>
      <b/>
      <sz val="8"/>
      <color rgb="FFFF0000"/>
      <name val="Geneva"/>
    </font>
    <font>
      <sz val="10"/>
      <color rgb="FFFF0000"/>
      <name val="Geneva"/>
    </font>
    <font>
      <sz val="8"/>
      <name val="Geneva"/>
    </font>
    <font>
      <sz val="8"/>
      <color rgb="FFFF0000"/>
      <name val="Geneva"/>
    </font>
    <font>
      <sz val="11"/>
      <name val="Calibri"/>
      <family val="2"/>
      <scheme val="minor"/>
    </font>
    <font>
      <sz val="16"/>
      <color rgb="FF002060"/>
      <name val="Tahoma"/>
      <family val="2"/>
    </font>
    <font>
      <sz val="16"/>
      <name val="Tahoma"/>
      <family val="2"/>
    </font>
    <font>
      <sz val="11"/>
      <color rgb="FF002060"/>
      <name val="Tahoma"/>
      <family val="2"/>
    </font>
    <font>
      <b/>
      <sz val="12"/>
      <name val="Tahoma"/>
      <family val="2"/>
    </font>
    <font>
      <b/>
      <sz val="8"/>
      <color rgb="FFFF000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6"/>
      <name val="Calibri"/>
      <family val="2"/>
      <scheme val="minor"/>
    </font>
    <font>
      <sz val="11"/>
      <name val="Tahoma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FF0000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A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33"/>
        <bgColor indexed="64"/>
      </patternFill>
    </fill>
  </fills>
  <borders count="62"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rgb="FF666699"/>
      </top>
      <bottom style="thin">
        <color rgb="FF666699"/>
      </bottom>
      <diagonal/>
    </border>
    <border>
      <left/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theme="0"/>
      </left>
      <right/>
      <top style="thin">
        <color theme="0"/>
      </top>
      <bottom style="thin">
        <color rgb="FF666699"/>
      </bottom>
      <diagonal/>
    </border>
    <border>
      <left/>
      <right/>
      <top style="thin">
        <color theme="0"/>
      </top>
      <bottom style="thin">
        <color rgb="FF666699"/>
      </bottom>
      <diagonal/>
    </border>
    <border>
      <left/>
      <right style="thin">
        <color rgb="FF666699"/>
      </right>
      <top style="thin">
        <color theme="0"/>
      </top>
      <bottom style="thin">
        <color rgb="FF666699"/>
      </bottom>
      <diagonal/>
    </border>
    <border>
      <left/>
      <right/>
      <top/>
      <bottom style="thin">
        <color rgb="FF666699"/>
      </bottom>
      <diagonal/>
    </border>
    <border>
      <left/>
      <right style="thin">
        <color rgb="FF666699"/>
      </right>
      <top/>
      <bottom style="thin">
        <color rgb="FF66669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theme="0" tint="-0.14996795556505021"/>
      </bottom>
      <diagonal/>
    </border>
    <border>
      <left/>
      <right/>
      <top style="medium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24994659260841701"/>
      </top>
      <bottom style="thin">
        <color theme="0" tint="-0.14996795556505021"/>
      </bottom>
      <diagonal/>
    </border>
    <border>
      <left style="hair">
        <color rgb="FF666699"/>
      </left>
      <right/>
      <top style="hair">
        <color rgb="FF666699"/>
      </top>
      <bottom style="hair">
        <color rgb="FF666699"/>
      </bottom>
      <diagonal/>
    </border>
    <border>
      <left/>
      <right style="thin">
        <color theme="0"/>
      </right>
      <top style="hair">
        <color rgb="FF666699"/>
      </top>
      <bottom style="hair">
        <color rgb="FF6666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rgb="FF666699"/>
      </top>
      <bottom style="hair">
        <color rgb="FF666699"/>
      </bottom>
      <diagonal/>
    </border>
    <border>
      <left style="hair">
        <color rgb="FF666699"/>
      </left>
      <right/>
      <top/>
      <bottom/>
      <diagonal/>
    </border>
    <border>
      <left style="thin">
        <color rgb="FF666699"/>
      </left>
      <right/>
      <top style="thin">
        <color rgb="FF666699"/>
      </top>
      <bottom style="thin">
        <color rgb="FF666699"/>
      </bottom>
      <diagonal/>
    </border>
    <border>
      <left/>
      <right style="hair">
        <color rgb="FF666699"/>
      </right>
      <top style="hair">
        <color rgb="FF666699"/>
      </top>
      <bottom style="hair">
        <color rgb="FF666699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rgb="FF666699"/>
      </top>
      <bottom/>
      <diagonal/>
    </border>
    <border>
      <left style="thin">
        <color rgb="FF666699"/>
      </left>
      <right/>
      <top style="hair">
        <color rgb="FF666699"/>
      </top>
      <bottom style="thin">
        <color rgb="FF666699"/>
      </bottom>
      <diagonal/>
    </border>
    <border>
      <left/>
      <right/>
      <top style="hair">
        <color rgb="FF666699"/>
      </top>
      <bottom style="thin">
        <color rgb="FF666699"/>
      </bottom>
      <diagonal/>
    </border>
    <border>
      <left/>
      <right style="thin">
        <color rgb="FF666699"/>
      </right>
      <top style="hair">
        <color rgb="FF666699"/>
      </top>
      <bottom style="thin">
        <color rgb="FF666699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ck">
        <color theme="0" tint="-0.24994659260841701"/>
      </top>
      <bottom/>
      <diagonal/>
    </border>
    <border>
      <left style="thin">
        <color rgb="FF666699"/>
      </left>
      <right/>
      <top style="thin">
        <color theme="0"/>
      </top>
      <bottom style="thin">
        <color rgb="FF666699"/>
      </bottom>
      <diagonal/>
    </border>
    <border>
      <left/>
      <right/>
      <top/>
      <bottom style="hair">
        <color rgb="FF66669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 style="thin">
        <color theme="0"/>
      </left>
      <right/>
      <top/>
      <bottom style="thin">
        <color rgb="FF666699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2" tint="-9.9948118533890809E-2"/>
      </left>
      <right/>
      <top style="thick">
        <color theme="2" tint="-9.9948118533890809E-2"/>
      </top>
      <bottom style="thick">
        <color theme="2" tint="-9.9948118533890809E-2"/>
      </bottom>
      <diagonal/>
    </border>
    <border>
      <left/>
      <right style="thick">
        <color theme="2" tint="-9.9948118533890809E-2"/>
      </right>
      <top style="thick">
        <color theme="2" tint="-9.9948118533890809E-2"/>
      </top>
      <bottom style="thick">
        <color theme="2" tint="-9.9948118533890809E-2"/>
      </bottom>
      <diagonal/>
    </border>
    <border>
      <left style="hair">
        <color rgb="FF666699"/>
      </left>
      <right/>
      <top style="hair">
        <color rgb="FF666699"/>
      </top>
      <bottom style="thin">
        <color rgb="FF666699"/>
      </bottom>
      <diagonal/>
    </border>
    <border>
      <left style="hair">
        <color rgb="FF666699"/>
      </left>
      <right style="hair">
        <color rgb="FF666699"/>
      </right>
      <top style="hair">
        <color rgb="FF666699"/>
      </top>
      <bottom style="hair">
        <color rgb="FF666699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theme="0"/>
      </left>
      <right/>
      <top style="thin">
        <color rgb="FF666699"/>
      </top>
      <bottom style="thin">
        <color theme="0"/>
      </bottom>
      <diagonal/>
    </border>
    <border>
      <left/>
      <right/>
      <top style="thin">
        <color rgb="FF666699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rgb="FF66669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34" fillId="0" borderId="0"/>
    <xf numFmtId="4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</cellStyleXfs>
  <cellXfs count="467">
    <xf numFmtId="0" fontId="0" fillId="0" borderId="0" xfId="0"/>
    <xf numFmtId="0" fontId="5" fillId="0" borderId="0" xfId="0" applyFont="1"/>
    <xf numFmtId="0" fontId="4" fillId="5" borderId="16" xfId="0" applyFont="1" applyFill="1" applyBorder="1" applyAlignment="1">
      <alignment horizontal="center"/>
    </xf>
    <xf numFmtId="0" fontId="5" fillId="0" borderId="16" xfId="0" applyFont="1" applyFill="1" applyBorder="1"/>
    <xf numFmtId="0" fontId="4" fillId="5" borderId="17" xfId="0" applyFont="1" applyFill="1" applyBorder="1" applyAlignment="1">
      <alignment horizontal="center"/>
    </xf>
    <xf numFmtId="0" fontId="5" fillId="0" borderId="17" xfId="0" applyFont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0" fontId="5" fillId="0" borderId="16" xfId="0" applyFont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0" fillId="0" borderId="16" xfId="0" applyBorder="1"/>
    <xf numFmtId="0" fontId="19" fillId="0" borderId="16" xfId="0" applyFont="1" applyBorder="1"/>
    <xf numFmtId="0" fontId="19" fillId="0" borderId="0" xfId="0" applyFont="1"/>
    <xf numFmtId="0" fontId="19" fillId="0" borderId="23" xfId="0" applyFont="1" applyFill="1" applyBorder="1"/>
    <xf numFmtId="0" fontId="19" fillId="0" borderId="0" xfId="0" applyFont="1" applyFill="1" applyBorder="1"/>
    <xf numFmtId="0" fontId="19" fillId="0" borderId="16" xfId="0" applyFont="1" applyFill="1" applyBorder="1"/>
    <xf numFmtId="0" fontId="5" fillId="0" borderId="16" xfId="0" applyFont="1" applyFill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6" xfId="0" applyFont="1" applyFill="1" applyBorder="1"/>
    <xf numFmtId="0" fontId="3" fillId="0" borderId="1" xfId="0" applyFont="1" applyBorder="1" applyAlignment="1" applyProtection="1"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14" fontId="5" fillId="0" borderId="10" xfId="0" applyNumberFormat="1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10" fontId="5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0" fontId="5" fillId="0" borderId="0" xfId="2" applyNumberFormat="1" applyFont="1" applyFill="1" applyBorder="1" applyProtection="1">
      <protection locked="0"/>
    </xf>
    <xf numFmtId="167" fontId="5" fillId="0" borderId="0" xfId="0" applyNumberFormat="1" applyFont="1" applyFill="1" applyBorder="1" applyProtection="1">
      <protection locked="0"/>
    </xf>
    <xf numFmtId="167" fontId="4" fillId="0" borderId="0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8" fillId="0" borderId="0" xfId="0" applyFont="1" applyFill="1" applyBorder="1" applyAlignment="1" applyProtection="1">
      <protection locked="0"/>
    </xf>
    <xf numFmtId="0" fontId="14" fillId="4" borderId="0" xfId="0" applyFont="1" applyFill="1" applyBorder="1" applyAlignment="1" applyProtection="1">
      <alignment horizontal="left" vertical="center"/>
      <protection locked="0"/>
    </xf>
    <xf numFmtId="164" fontId="14" fillId="4" borderId="0" xfId="0" applyNumberFormat="1" applyFont="1" applyFill="1" applyBorder="1" applyAlignment="1" applyProtection="1">
      <alignment horizontal="center" vertical="center"/>
      <protection locked="0"/>
    </xf>
    <xf numFmtId="164" fontId="14" fillId="0" borderId="0" xfId="3" applyFont="1" applyFill="1" applyBorder="1" applyAlignment="1" applyProtection="1">
      <alignment vertical="center" shrinkToFit="1"/>
      <protection locked="0"/>
    </xf>
    <xf numFmtId="0" fontId="15" fillId="0" borderId="0" xfId="0" applyFont="1" applyFill="1" applyBorder="1" applyProtection="1">
      <protection locked="0"/>
    </xf>
    <xf numFmtId="9" fontId="14" fillId="0" borderId="0" xfId="2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14" fontId="5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/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166" fontId="3" fillId="0" borderId="0" xfId="0" applyNumberFormat="1" applyFont="1" applyAlignment="1" applyProtection="1">
      <protection locked="0"/>
    </xf>
    <xf numFmtId="14" fontId="5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10" fontId="0" fillId="0" borderId="0" xfId="0" applyNumberFormat="1"/>
    <xf numFmtId="0" fontId="3" fillId="0" borderId="0" xfId="0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9" fontId="3" fillId="0" borderId="0" xfId="0" applyNumberFormat="1" applyFont="1" applyBorder="1" applyAlignment="1" applyProtection="1">
      <alignment horizontal="center"/>
      <protection locked="0"/>
    </xf>
    <xf numFmtId="166" fontId="24" fillId="0" borderId="0" xfId="0" applyNumberFormat="1" applyFont="1" applyBorder="1" applyAlignment="1" applyProtection="1">
      <alignment horizontal="center"/>
      <protection locked="0"/>
    </xf>
    <xf numFmtId="0" fontId="3" fillId="0" borderId="42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 indent="2"/>
      <protection locked="0"/>
    </xf>
    <xf numFmtId="0" fontId="0" fillId="0" borderId="0" xfId="0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0" fontId="5" fillId="0" borderId="28" xfId="0" applyFont="1" applyFill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  <protection locked="0"/>
    </xf>
    <xf numFmtId="10" fontId="3" fillId="0" borderId="0" xfId="0" applyNumberFormat="1" applyFont="1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43" xfId="0" applyFont="1" applyBorder="1" applyProtection="1">
      <protection locked="0"/>
    </xf>
    <xf numFmtId="0" fontId="0" fillId="0" borderId="43" xfId="0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8" fillId="0" borderId="35" xfId="0" applyFont="1" applyFill="1" applyBorder="1" applyAlignment="1" applyProtection="1">
      <alignment horizontal="center"/>
      <protection locked="0"/>
    </xf>
    <xf numFmtId="166" fontId="5" fillId="7" borderId="0" xfId="0" applyNumberFormat="1" applyFont="1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/>
      <protection locked="0"/>
    </xf>
    <xf numFmtId="14" fontId="5" fillId="0" borderId="0" xfId="0" applyNumberFormat="1" applyFont="1" applyBorder="1" applyAlignment="1" applyProtection="1">
      <protection locked="0"/>
    </xf>
    <xf numFmtId="0" fontId="20" fillId="0" borderId="0" xfId="0" applyFont="1" applyAlignment="1" applyProtection="1">
      <protection locked="0"/>
    </xf>
    <xf numFmtId="0" fontId="20" fillId="0" borderId="2" xfId="0" applyFont="1" applyBorder="1" applyAlignment="1" applyProtection="1">
      <protection locked="0"/>
    </xf>
    <xf numFmtId="0" fontId="4" fillId="0" borderId="0" xfId="0" applyFont="1" applyAlignment="1" applyProtection="1">
      <protection locked="0"/>
    </xf>
    <xf numFmtId="9" fontId="5" fillId="7" borderId="0" xfId="0" applyNumberFormat="1" applyFont="1" applyFill="1" applyBorder="1" applyAlignment="1" applyProtection="1">
      <alignment horizontal="center"/>
    </xf>
    <xf numFmtId="0" fontId="0" fillId="7" borderId="0" xfId="0" applyFill="1" applyProtection="1">
      <protection locked="0"/>
    </xf>
    <xf numFmtId="0" fontId="8" fillId="7" borderId="0" xfId="0" applyFont="1" applyFill="1" applyBorder="1" applyAlignment="1" applyProtection="1">
      <alignment horizontal="left"/>
      <protection locked="0"/>
    </xf>
    <xf numFmtId="0" fontId="4" fillId="7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168" fontId="5" fillId="7" borderId="17" xfId="0" applyNumberFormat="1" applyFont="1" applyFill="1" applyBorder="1" applyAlignment="1" applyProtection="1">
      <alignment horizontal="center"/>
      <protection locked="0"/>
    </xf>
    <xf numFmtId="168" fontId="5" fillId="7" borderId="18" xfId="0" applyNumberFormat="1" applyFont="1" applyFill="1" applyBorder="1" applyAlignment="1" applyProtection="1">
      <alignment horizontal="center"/>
      <protection locked="0"/>
    </xf>
    <xf numFmtId="0" fontId="18" fillId="7" borderId="0" xfId="0" applyFont="1" applyFill="1" applyProtection="1">
      <protection locked="0"/>
    </xf>
    <xf numFmtId="0" fontId="6" fillId="7" borderId="16" xfId="0" applyFont="1" applyFill="1" applyBorder="1" applyAlignment="1" applyProtection="1">
      <alignment horizontal="center"/>
      <protection locked="0"/>
    </xf>
    <xf numFmtId="0" fontId="8" fillId="7" borderId="0" xfId="0" applyFont="1" applyFill="1" applyBorder="1" applyAlignment="1" applyProtection="1">
      <protection locked="0"/>
    </xf>
    <xf numFmtId="0" fontId="3" fillId="7" borderId="0" xfId="0" applyFont="1" applyFill="1" applyProtection="1">
      <protection locked="0"/>
    </xf>
    <xf numFmtId="0" fontId="0" fillId="7" borderId="0" xfId="0" applyFill="1" applyBorder="1" applyProtection="1">
      <protection locked="0"/>
    </xf>
    <xf numFmtId="0" fontId="4" fillId="7" borderId="0" xfId="0" applyFont="1" applyFill="1" applyBorder="1" applyAlignment="1" applyProtection="1">
      <protection locked="0"/>
    </xf>
    <xf numFmtId="0" fontId="28" fillId="0" borderId="0" xfId="0" applyFont="1" applyBorder="1" applyAlignment="1" applyProtection="1">
      <alignment horizontal="left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5" fillId="7" borderId="0" xfId="0" applyFont="1" applyFill="1" applyBorder="1" applyAlignment="1" applyProtection="1">
      <protection locked="0"/>
    </xf>
    <xf numFmtId="0" fontId="4" fillId="7" borderId="0" xfId="0" applyFont="1" applyFill="1" applyBorder="1" applyAlignment="1" applyProtection="1">
      <alignment vertic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69" fontId="5" fillId="7" borderId="0" xfId="0" applyNumberFormat="1" applyFont="1" applyFill="1" applyBorder="1" applyAlignment="1" applyProtection="1">
      <alignment horizontal="center"/>
      <protection locked="0"/>
    </xf>
    <xf numFmtId="166" fontId="5" fillId="7" borderId="0" xfId="0" applyNumberFormat="1" applyFont="1" applyFill="1" applyBorder="1" applyAlignment="1" applyProtection="1">
      <alignment horizontal="center"/>
      <protection locked="0"/>
    </xf>
    <xf numFmtId="169" fontId="5" fillId="7" borderId="0" xfId="0" applyNumberFormat="1" applyFont="1" applyFill="1" applyBorder="1" applyAlignment="1" applyProtection="1">
      <protection locked="0"/>
    </xf>
    <xf numFmtId="166" fontId="5" fillId="7" borderId="0" xfId="0" applyNumberFormat="1" applyFont="1" applyFill="1" applyBorder="1" applyAlignment="1" applyProtection="1">
      <protection locked="0"/>
    </xf>
    <xf numFmtId="0" fontId="5" fillId="7" borderId="0" xfId="0" applyFont="1" applyFill="1" applyBorder="1" applyAlignment="1" applyProtection="1">
      <alignment horizontal="center" vertical="center"/>
      <protection locked="0"/>
    </xf>
    <xf numFmtId="169" fontId="5" fillId="7" borderId="28" xfId="0" applyNumberFormat="1" applyFont="1" applyFill="1" applyBorder="1" applyAlignment="1" applyProtection="1">
      <protection locked="0"/>
    </xf>
    <xf numFmtId="166" fontId="5" fillId="7" borderId="28" xfId="0" applyNumberFormat="1" applyFont="1" applyFill="1" applyBorder="1" applyAlignment="1" applyProtection="1">
      <protection locked="0"/>
    </xf>
    <xf numFmtId="0" fontId="5" fillId="7" borderId="28" xfId="0" applyFont="1" applyFill="1" applyBorder="1" applyAlignment="1" applyProtection="1"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/>
    <xf numFmtId="0" fontId="4" fillId="0" borderId="2" xfId="0" applyFont="1" applyBorder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2" xfId="0" applyFont="1" applyBorder="1" applyAlignment="1" applyProtection="1">
      <alignment wrapText="1"/>
      <protection locked="0"/>
    </xf>
    <xf numFmtId="0" fontId="5" fillId="0" borderId="0" xfId="0" applyFont="1" applyBorder="1" applyProtection="1">
      <protection locked="0"/>
    </xf>
    <xf numFmtId="0" fontId="31" fillId="0" borderId="0" xfId="0" applyFont="1" applyAlignment="1" applyProtection="1">
      <alignment horizontal="left"/>
      <protection locked="0"/>
    </xf>
    <xf numFmtId="0" fontId="31" fillId="0" borderId="0" xfId="0" applyFont="1" applyAlignment="1" applyProtection="1">
      <protection locked="0"/>
    </xf>
    <xf numFmtId="0" fontId="22" fillId="0" borderId="0" xfId="0" applyFont="1" applyBorder="1" applyAlignment="1" applyProtection="1">
      <protection locked="0"/>
    </xf>
    <xf numFmtId="0" fontId="7" fillId="7" borderId="0" xfId="0" applyFont="1" applyFill="1" applyBorder="1" applyAlignment="1" applyProtection="1">
      <alignment vertical="center"/>
      <protection locked="0"/>
    </xf>
    <xf numFmtId="0" fontId="3" fillId="0" borderId="33" xfId="0" applyFont="1" applyBorder="1" applyAlignment="1" applyProtection="1">
      <protection locked="0"/>
    </xf>
    <xf numFmtId="0" fontId="3" fillId="0" borderId="33" xfId="0" applyFont="1" applyBorder="1" applyProtection="1">
      <protection locked="0"/>
    </xf>
    <xf numFmtId="166" fontId="5" fillId="0" borderId="0" xfId="0" applyNumberFormat="1" applyFont="1" applyBorder="1" applyAlignment="1" applyProtection="1">
      <alignment horizontal="center"/>
    </xf>
    <xf numFmtId="0" fontId="5" fillId="0" borderId="7" xfId="0" applyFont="1" applyBorder="1" applyAlignment="1" applyProtection="1">
      <protection locked="0"/>
    </xf>
    <xf numFmtId="0" fontId="6" fillId="0" borderId="0" xfId="0" applyFont="1" applyBorder="1" applyProtection="1">
      <protection locked="0"/>
    </xf>
    <xf numFmtId="0" fontId="10" fillId="7" borderId="0" xfId="0" applyFont="1" applyFill="1" applyBorder="1" applyAlignment="1" applyProtection="1">
      <alignment vertical="center"/>
      <protection locked="0"/>
    </xf>
    <xf numFmtId="166" fontId="5" fillId="7" borderId="0" xfId="0" applyNumberFormat="1" applyFont="1" applyFill="1" applyBorder="1" applyAlignment="1" applyProtection="1"/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3" fillId="6" borderId="22" xfId="0" applyFont="1" applyFill="1" applyBorder="1" applyAlignment="1" applyProtection="1">
      <alignment horizontal="center" vertical="center"/>
      <protection locked="0"/>
    </xf>
    <xf numFmtId="0" fontId="30" fillId="7" borderId="0" xfId="0" applyFont="1" applyFill="1" applyBorder="1" applyProtection="1">
      <protection locked="0"/>
    </xf>
    <xf numFmtId="0" fontId="13" fillId="7" borderId="0" xfId="0" applyFont="1" applyFill="1" applyBorder="1" applyAlignment="1" applyProtection="1">
      <alignment vertical="center" wrapText="1"/>
      <protection locked="0"/>
    </xf>
    <xf numFmtId="0" fontId="33" fillId="6" borderId="47" xfId="0" applyFont="1" applyFill="1" applyBorder="1" applyAlignment="1" applyProtection="1">
      <alignment horizontal="center" vertical="center" wrapText="1"/>
      <protection locked="0"/>
    </xf>
    <xf numFmtId="166" fontId="28" fillId="7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Border="1" applyAlignment="1" applyProtection="1">
      <protection locked="0"/>
    </xf>
    <xf numFmtId="166" fontId="28" fillId="0" borderId="9" xfId="0" applyNumberFormat="1" applyFont="1" applyBorder="1" applyAlignment="1" applyProtection="1">
      <alignment horizontal="left" vertical="center"/>
      <protection locked="0"/>
    </xf>
    <xf numFmtId="166" fontId="28" fillId="0" borderId="4" xfId="0" applyNumberFormat="1" applyFont="1" applyBorder="1" applyAlignment="1" applyProtection="1">
      <alignment horizontal="left" vertical="center"/>
      <protection locked="0"/>
    </xf>
    <xf numFmtId="9" fontId="7" fillId="7" borderId="47" xfId="0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 applyProtection="1">
      <alignment horizontal="center"/>
      <protection locked="0"/>
    </xf>
    <xf numFmtId="0" fontId="13" fillId="8" borderId="48" xfId="0" applyFont="1" applyFill="1" applyBorder="1" applyAlignment="1" applyProtection="1">
      <protection locked="0"/>
    </xf>
    <xf numFmtId="0" fontId="13" fillId="7" borderId="48" xfId="0" applyFont="1" applyFill="1" applyBorder="1" applyAlignment="1" applyProtection="1">
      <alignment horizontal="center"/>
      <protection locked="0"/>
    </xf>
    <xf numFmtId="0" fontId="4" fillId="7" borderId="0" xfId="0" applyFont="1" applyFill="1" applyBorder="1" applyAlignment="1" applyProtection="1">
      <alignment horizontal="center"/>
      <protection locked="0"/>
    </xf>
    <xf numFmtId="0" fontId="4" fillId="7" borderId="0" xfId="0" applyFont="1" applyFill="1" applyBorder="1" applyAlignment="1" applyProtection="1">
      <alignment horizontal="left"/>
      <protection locked="0"/>
    </xf>
    <xf numFmtId="0" fontId="5" fillId="0" borderId="49" xfId="0" applyFont="1" applyBorder="1" applyAlignment="1" applyProtection="1">
      <alignment horizontal="center"/>
    </xf>
    <xf numFmtId="0" fontId="5" fillId="0" borderId="50" xfId="0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 vertical="center"/>
      <protection locked="0"/>
    </xf>
    <xf numFmtId="0" fontId="5" fillId="7" borderId="0" xfId="0" applyFont="1" applyFill="1" applyBorder="1" applyProtection="1">
      <protection locked="0"/>
    </xf>
    <xf numFmtId="14" fontId="5" fillId="7" borderId="0" xfId="0" applyNumberFormat="1" applyFont="1" applyFill="1" applyBorder="1" applyAlignment="1" applyProtection="1">
      <protection locked="0"/>
    </xf>
    <xf numFmtId="0" fontId="5" fillId="0" borderId="39" xfId="0" applyFont="1" applyBorder="1" applyAlignment="1" applyProtection="1">
      <protection locked="0"/>
    </xf>
    <xf numFmtId="1" fontId="5" fillId="0" borderId="7" xfId="0" applyNumberFormat="1" applyFont="1" applyBorder="1" applyAlignment="1" applyProtection="1"/>
    <xf numFmtId="0" fontId="4" fillId="7" borderId="8" xfId="0" applyFont="1" applyFill="1" applyBorder="1" applyAlignment="1" applyProtection="1">
      <protection locked="0"/>
    </xf>
    <xf numFmtId="0" fontId="20" fillId="7" borderId="0" xfId="0" applyFont="1" applyFill="1" applyBorder="1" applyAlignment="1" applyProtection="1">
      <protection locked="0"/>
    </xf>
    <xf numFmtId="0" fontId="0" fillId="7" borderId="0" xfId="0" applyFill="1" applyBorder="1" applyAlignment="1" applyProtection="1">
      <protection locked="0"/>
    </xf>
    <xf numFmtId="0" fontId="22" fillId="0" borderId="33" xfId="0" applyFont="1" applyBorder="1" applyAlignment="1" applyProtection="1">
      <protection locked="0"/>
    </xf>
    <xf numFmtId="0" fontId="22" fillId="7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26" fillId="7" borderId="0" xfId="0" applyFont="1" applyFill="1" applyBorder="1" applyAlignment="1" applyProtection="1">
      <alignment vertical="center"/>
      <protection locked="0"/>
    </xf>
    <xf numFmtId="167" fontId="13" fillId="7" borderId="47" xfId="0" applyNumberFormat="1" applyFont="1" applyFill="1" applyBorder="1" applyAlignment="1" applyProtection="1">
      <alignment horizontal="center" vertical="center"/>
      <protection locked="0"/>
    </xf>
    <xf numFmtId="0" fontId="25" fillId="7" borderId="48" xfId="0" applyFont="1" applyFill="1" applyBorder="1" applyAlignment="1" applyProtection="1">
      <alignment horizontal="center"/>
      <protection locked="0"/>
    </xf>
    <xf numFmtId="4" fontId="4" fillId="7" borderId="47" xfId="0" applyNumberFormat="1" applyFont="1" applyFill="1" applyBorder="1" applyAlignment="1" applyProtection="1">
      <alignment horizontal="center" vertical="center"/>
      <protection locked="0"/>
    </xf>
    <xf numFmtId="9" fontId="4" fillId="7" borderId="47" xfId="0" applyNumberFormat="1" applyFont="1" applyFill="1" applyBorder="1" applyAlignment="1" applyProtection="1">
      <alignment horizontal="center"/>
      <protection locked="0"/>
    </xf>
    <xf numFmtId="9" fontId="13" fillId="7" borderId="47" xfId="0" applyNumberFormat="1" applyFont="1" applyFill="1" applyBorder="1" applyAlignment="1" applyProtection="1">
      <alignment horizontal="center"/>
      <protection locked="0"/>
    </xf>
    <xf numFmtId="0" fontId="24" fillId="8" borderId="48" xfId="0" applyFont="1" applyFill="1" applyBorder="1" applyAlignment="1" applyProtection="1">
      <alignment horizontal="center"/>
      <protection locked="0"/>
    </xf>
    <xf numFmtId="0" fontId="0" fillId="0" borderId="53" xfId="0" applyBorder="1" applyProtection="1">
      <protection locked="0"/>
    </xf>
    <xf numFmtId="2" fontId="40" fillId="0" borderId="0" xfId="5" applyNumberFormat="1" applyFont="1" applyBorder="1"/>
    <xf numFmtId="2" fontId="34" fillId="0" borderId="0" xfId="5" applyNumberFormat="1"/>
    <xf numFmtId="2" fontId="34" fillId="0" borderId="0" xfId="5" applyNumberFormat="1" applyProtection="1">
      <protection locked="0"/>
    </xf>
    <xf numFmtId="2" fontId="46" fillId="0" borderId="0" xfId="5" applyNumberFormat="1" applyFont="1" applyProtection="1">
      <protection hidden="1"/>
    </xf>
    <xf numFmtId="2" fontId="35" fillId="0" borderId="0" xfId="5" applyNumberFormat="1" applyFont="1" applyBorder="1"/>
    <xf numFmtId="2" fontId="34" fillId="0" borderId="0" xfId="5" applyNumberFormat="1" applyBorder="1"/>
    <xf numFmtId="2" fontId="37" fillId="0" borderId="0" xfId="5" applyNumberFormat="1" applyFont="1" applyAlignment="1" applyProtection="1">
      <alignment horizontal="centerContinuous"/>
      <protection locked="0"/>
    </xf>
    <xf numFmtId="2" fontId="34" fillId="0" borderId="0" xfId="5" applyNumberFormat="1" applyAlignment="1" applyProtection="1">
      <alignment horizontal="centerContinuous"/>
      <protection locked="0"/>
    </xf>
    <xf numFmtId="2" fontId="34" fillId="0" borderId="0" xfId="5" applyNumberFormat="1" applyFont="1" applyBorder="1" applyProtection="1">
      <protection hidden="1"/>
    </xf>
    <xf numFmtId="2" fontId="38" fillId="0" borderId="0" xfId="5" applyNumberFormat="1" applyFont="1" applyBorder="1" applyProtection="1">
      <protection locked="0"/>
    </xf>
    <xf numFmtId="2" fontId="34" fillId="0" borderId="0" xfId="5" applyNumberFormat="1" applyFont="1" applyBorder="1"/>
    <xf numFmtId="2" fontId="34" fillId="0" borderId="0" xfId="5" applyNumberFormat="1" applyFont="1"/>
    <xf numFmtId="2" fontId="39" fillId="0" borderId="0" xfId="5" applyNumberFormat="1" applyFont="1"/>
    <xf numFmtId="2" fontId="38" fillId="0" borderId="0" xfId="6" applyNumberFormat="1" applyFont="1" applyBorder="1" applyProtection="1">
      <protection locked="0"/>
    </xf>
    <xf numFmtId="2" fontId="34" fillId="0" borderId="0" xfId="5" applyNumberFormat="1" applyAlignment="1">
      <alignment horizontal="right"/>
    </xf>
    <xf numFmtId="2" fontId="34" fillId="0" borderId="0" xfId="5" applyNumberFormat="1" applyFont="1" applyProtection="1">
      <protection locked="0"/>
    </xf>
    <xf numFmtId="2" fontId="41" fillId="0" borderId="0" xfId="5" applyNumberFormat="1" applyFont="1" applyAlignment="1" applyProtection="1">
      <alignment horizontal="left"/>
      <protection locked="0"/>
    </xf>
    <xf numFmtId="2" fontId="42" fillId="0" borderId="0" xfId="5" applyNumberFormat="1" applyFont="1" applyBorder="1" applyProtection="1">
      <protection hidden="1"/>
    </xf>
    <xf numFmtId="2" fontId="34" fillId="0" borderId="0" xfId="5" applyNumberFormat="1" applyFont="1" applyBorder="1" applyProtection="1">
      <protection locked="0"/>
    </xf>
    <xf numFmtId="2" fontId="43" fillId="0" borderId="0" xfId="5" applyNumberFormat="1" applyFont="1" applyBorder="1" applyProtection="1">
      <protection hidden="1"/>
    </xf>
    <xf numFmtId="2" fontId="34" fillId="0" borderId="0" xfId="5" applyNumberFormat="1" applyFont="1" applyAlignment="1" applyProtection="1">
      <alignment horizontal="right"/>
      <protection locked="0"/>
    </xf>
    <xf numFmtId="2" fontId="38" fillId="0" borderId="0" xfId="5" applyNumberFormat="1" applyFont="1" applyProtection="1">
      <protection locked="0"/>
    </xf>
    <xf numFmtId="2" fontId="44" fillId="0" borderId="0" xfId="5" applyNumberFormat="1" applyFont="1" applyProtection="1">
      <protection locked="0"/>
    </xf>
    <xf numFmtId="2" fontId="44" fillId="0" borderId="0" xfId="5" applyNumberFormat="1" applyFont="1"/>
    <xf numFmtId="2" fontId="45" fillId="0" borderId="0" xfId="5" applyNumberFormat="1" applyFont="1"/>
    <xf numFmtId="2" fontId="38" fillId="0" borderId="0" xfId="5" applyNumberFormat="1" applyFont="1" applyAlignment="1" applyProtection="1">
      <alignment horizontal="left"/>
      <protection locked="0"/>
    </xf>
    <xf numFmtId="2" fontId="46" fillId="0" borderId="0" xfId="5" applyNumberFormat="1" applyFont="1" applyBorder="1" applyProtection="1">
      <protection hidden="1"/>
    </xf>
    <xf numFmtId="2" fontId="34" fillId="0" borderId="0" xfId="5" applyNumberFormat="1" applyBorder="1" applyProtection="1">
      <protection hidden="1"/>
    </xf>
    <xf numFmtId="2" fontId="46" fillId="0" borderId="0" xfId="5" applyNumberFormat="1" applyFont="1" applyAlignment="1" applyProtection="1">
      <alignment horizontal="left"/>
      <protection locked="0"/>
    </xf>
    <xf numFmtId="2" fontId="34" fillId="0" borderId="0" xfId="5" applyNumberFormat="1" applyAlignment="1" applyProtection="1">
      <alignment horizontal="left"/>
      <protection locked="0"/>
    </xf>
    <xf numFmtId="2" fontId="39" fillId="0" borderId="0" xfId="5" applyNumberFormat="1" applyFont="1" applyProtection="1">
      <protection locked="0"/>
    </xf>
    <xf numFmtId="2" fontId="46" fillId="0" borderId="0" xfId="5" applyNumberFormat="1" applyFont="1" applyAlignment="1">
      <alignment horizontal="left"/>
    </xf>
    <xf numFmtId="2" fontId="34" fillId="0" borderId="0" xfId="5" applyNumberFormat="1" applyProtection="1">
      <protection hidden="1"/>
    </xf>
    <xf numFmtId="2" fontId="42" fillId="0" borderId="0" xfId="5" applyNumberFormat="1" applyFont="1" applyProtection="1">
      <protection locked="0"/>
    </xf>
    <xf numFmtId="2" fontId="42" fillId="0" borderId="17" xfId="5" applyNumberFormat="1" applyFont="1" applyBorder="1" applyProtection="1">
      <protection locked="0"/>
    </xf>
    <xf numFmtId="2" fontId="34" fillId="0" borderId="54" xfId="5" applyNumberFormat="1" applyBorder="1" applyProtection="1">
      <protection locked="0"/>
    </xf>
    <xf numFmtId="2" fontId="34" fillId="0" borderId="18" xfId="5" applyNumberFormat="1" applyBorder="1" applyAlignment="1" applyProtection="1">
      <alignment horizontal="center"/>
      <protection locked="0"/>
    </xf>
    <xf numFmtId="2" fontId="34" fillId="0" borderId="0" xfId="5" applyNumberFormat="1" applyBorder="1" applyProtection="1">
      <protection locked="0"/>
    </xf>
    <xf numFmtId="2" fontId="39" fillId="0" borderId="0" xfId="5" applyNumberFormat="1" applyFont="1" applyBorder="1"/>
    <xf numFmtId="2" fontId="34" fillId="0" borderId="23" xfId="5" applyNumberFormat="1" applyBorder="1"/>
    <xf numFmtId="2" fontId="34" fillId="0" borderId="56" xfId="5" applyNumberFormat="1" applyBorder="1" applyProtection="1">
      <protection locked="0"/>
    </xf>
    <xf numFmtId="2" fontId="46" fillId="0" borderId="57" xfId="5" applyNumberFormat="1" applyFont="1" applyBorder="1" applyProtection="1">
      <protection locked="0"/>
    </xf>
    <xf numFmtId="2" fontId="34" fillId="0" borderId="57" xfId="5" applyNumberFormat="1" applyBorder="1"/>
    <xf numFmtId="2" fontId="34" fillId="0" borderId="58" xfId="5" applyNumberFormat="1" applyBorder="1" applyProtection="1">
      <protection hidden="1"/>
    </xf>
    <xf numFmtId="2" fontId="46" fillId="0" borderId="0" xfId="5" applyNumberFormat="1" applyFont="1" applyBorder="1" applyProtection="1">
      <protection locked="0"/>
    </xf>
    <xf numFmtId="2" fontId="34" fillId="0" borderId="59" xfId="5" applyNumberFormat="1" applyBorder="1" applyProtection="1">
      <protection locked="0"/>
    </xf>
    <xf numFmtId="2" fontId="34" fillId="0" borderId="60" xfId="5" applyNumberFormat="1" applyBorder="1"/>
    <xf numFmtId="2" fontId="34" fillId="0" borderId="43" xfId="5" applyNumberFormat="1" applyBorder="1"/>
    <xf numFmtId="2" fontId="34" fillId="0" borderId="43" xfId="5" applyNumberFormat="1" applyBorder="1" applyProtection="1">
      <protection locked="0"/>
    </xf>
    <xf numFmtId="2" fontId="34" fillId="0" borderId="53" xfId="5" applyNumberFormat="1" applyBorder="1" applyProtection="1">
      <protection locked="0"/>
    </xf>
    <xf numFmtId="2" fontId="34" fillId="0" borderId="57" xfId="5" applyNumberFormat="1" applyBorder="1" applyProtection="1">
      <protection locked="0"/>
    </xf>
    <xf numFmtId="2" fontId="34" fillId="0" borderId="53" xfId="5" applyNumberFormat="1" applyBorder="1"/>
    <xf numFmtId="2" fontId="46" fillId="0" borderId="0" xfId="5" applyNumberFormat="1" applyFont="1" applyProtection="1">
      <protection locked="0"/>
    </xf>
    <xf numFmtId="2" fontId="47" fillId="0" borderId="0" xfId="5" applyNumberFormat="1" applyFont="1" applyAlignment="1" applyProtection="1">
      <alignment horizontal="left"/>
      <protection locked="0"/>
    </xf>
    <xf numFmtId="2" fontId="48" fillId="0" borderId="0" xfId="5" applyNumberFormat="1" applyFont="1" applyProtection="1">
      <protection locked="0"/>
    </xf>
    <xf numFmtId="1" fontId="41" fillId="0" borderId="0" xfId="5" applyNumberFormat="1" applyFont="1" applyAlignment="1" applyProtection="1">
      <alignment horizontal="left"/>
      <protection locked="0"/>
    </xf>
    <xf numFmtId="10" fontId="46" fillId="0" borderId="0" xfId="2" applyNumberFormat="1" applyFont="1" applyAlignment="1" applyProtection="1">
      <alignment horizontal="left"/>
      <protection hidden="1"/>
    </xf>
    <xf numFmtId="165" fontId="34" fillId="0" borderId="23" xfId="1" applyFont="1" applyBorder="1" applyProtection="1">
      <protection locked="0"/>
    </xf>
    <xf numFmtId="165" fontId="34" fillId="0" borderId="0" xfId="1" applyFont="1" applyProtection="1">
      <protection hidden="1"/>
    </xf>
    <xf numFmtId="1" fontId="46" fillId="0" borderId="0" xfId="5" applyNumberFormat="1" applyFont="1" applyAlignment="1">
      <alignment horizontal="left"/>
    </xf>
    <xf numFmtId="2" fontId="49" fillId="0" borderId="55" xfId="5" applyNumberFormat="1" applyFont="1" applyBorder="1" applyProtection="1">
      <protection locked="0"/>
    </xf>
    <xf numFmtId="14" fontId="34" fillId="0" borderId="0" xfId="5" applyNumberFormat="1"/>
    <xf numFmtId="166" fontId="9" fillId="0" borderId="0" xfId="0" applyNumberFormat="1" applyFont="1" applyAlignment="1" applyProtection="1">
      <alignment horizontal="right"/>
    </xf>
    <xf numFmtId="166" fontId="5" fillId="7" borderId="0" xfId="0" applyNumberFormat="1" applyFont="1" applyFill="1" applyBorder="1" applyAlignment="1" applyProtection="1">
      <alignment horizontal="center"/>
      <protection locked="0"/>
    </xf>
    <xf numFmtId="0" fontId="51" fillId="7" borderId="0" xfId="0" applyFont="1" applyFill="1" applyProtection="1"/>
    <xf numFmtId="0" fontId="30" fillId="7" borderId="0" xfId="0" applyFont="1" applyFill="1" applyProtection="1"/>
    <xf numFmtId="0" fontId="0" fillId="7" borderId="0" xfId="0" applyFill="1" applyProtection="1"/>
    <xf numFmtId="0" fontId="53" fillId="7" borderId="0" xfId="0" applyFont="1" applyFill="1" applyAlignment="1" applyProtection="1"/>
    <xf numFmtId="0" fontId="25" fillId="7" borderId="0" xfId="0" applyFont="1" applyFill="1" applyAlignment="1" applyProtection="1">
      <alignment horizontal="left"/>
    </xf>
    <xf numFmtId="0" fontId="51" fillId="7" borderId="0" xfId="0" applyFont="1" applyFill="1" applyBorder="1" applyAlignment="1" applyProtection="1">
      <alignment horizontal="center"/>
    </xf>
    <xf numFmtId="0" fontId="0" fillId="0" borderId="0" xfId="0" applyProtection="1"/>
    <xf numFmtId="0" fontId="25" fillId="7" borderId="0" xfId="0" applyFont="1" applyFill="1" applyAlignment="1" applyProtection="1"/>
    <xf numFmtId="0" fontId="25" fillId="7" borderId="23" xfId="0" applyFont="1" applyFill="1" applyBorder="1" applyAlignment="1" applyProtection="1"/>
    <xf numFmtId="0" fontId="55" fillId="7" borderId="0" xfId="0" applyFont="1" applyFill="1" applyAlignment="1" applyProtection="1"/>
    <xf numFmtId="0" fontId="55" fillId="7" borderId="23" xfId="0" applyFont="1" applyFill="1" applyBorder="1" applyAlignment="1" applyProtection="1"/>
    <xf numFmtId="0" fontId="58" fillId="7" borderId="0" xfId="0" applyFont="1" applyFill="1" applyBorder="1" applyAlignment="1" applyProtection="1"/>
    <xf numFmtId="9" fontId="51" fillId="7" borderId="0" xfId="0" applyNumberFormat="1" applyFont="1" applyFill="1" applyProtection="1"/>
    <xf numFmtId="9" fontId="59" fillId="7" borderId="0" xfId="0" applyNumberFormat="1" applyFont="1" applyFill="1" applyAlignment="1" applyProtection="1">
      <alignment horizontal="center" vertical="center"/>
    </xf>
    <xf numFmtId="166" fontId="25" fillId="7" borderId="0" xfId="0" applyNumberFormat="1" applyFont="1" applyFill="1" applyAlignment="1" applyProtection="1"/>
    <xf numFmtId="0" fontId="25" fillId="7" borderId="0" xfId="0" applyFont="1" applyFill="1" applyProtection="1"/>
    <xf numFmtId="0" fontId="51" fillId="7" borderId="0" xfId="0" applyFont="1" applyFill="1" applyAlignment="1" applyProtection="1">
      <alignment horizontal="right"/>
    </xf>
    <xf numFmtId="166" fontId="25" fillId="7" borderId="0" xfId="0" applyNumberFormat="1" applyFont="1" applyFill="1" applyAlignment="1" applyProtection="1">
      <alignment horizontal="right"/>
    </xf>
    <xf numFmtId="0" fontId="51" fillId="7" borderId="0" xfId="0" applyFont="1" applyFill="1" applyBorder="1" applyProtection="1"/>
    <xf numFmtId="0" fontId="61" fillId="7" borderId="0" xfId="0" applyNumberFormat="1" applyFont="1" applyFill="1" applyAlignment="1" applyProtection="1">
      <alignment wrapText="1"/>
    </xf>
    <xf numFmtId="166" fontId="56" fillId="7" borderId="0" xfId="0" applyNumberFormat="1" applyFont="1" applyFill="1" applyBorder="1" applyAlignment="1" applyProtection="1">
      <alignment horizontal="center"/>
    </xf>
    <xf numFmtId="166" fontId="63" fillId="7" borderId="0" xfId="8" applyNumberFormat="1" applyFill="1" applyBorder="1" applyAlignment="1" applyProtection="1">
      <alignment horizontal="center"/>
    </xf>
    <xf numFmtId="0" fontId="5" fillId="0" borderId="0" xfId="0" applyFont="1" applyFill="1" applyBorder="1"/>
    <xf numFmtId="10" fontId="0" fillId="0" borderId="0" xfId="2" applyNumberFormat="1" applyFont="1"/>
    <xf numFmtId="0" fontId="51" fillId="0" borderId="16" xfId="0" applyFont="1" applyFill="1" applyBorder="1" applyAlignment="1" applyProtection="1">
      <protection locked="0"/>
    </xf>
    <xf numFmtId="0" fontId="30" fillId="7" borderId="0" xfId="0" applyFont="1" applyFill="1" applyBorder="1" applyAlignment="1" applyProtection="1"/>
    <xf numFmtId="10" fontId="3" fillId="7" borderId="61" xfId="2" applyNumberFormat="1" applyFont="1" applyFill="1" applyBorder="1" applyAlignment="1" applyProtection="1">
      <alignment horizontal="right"/>
    </xf>
    <xf numFmtId="166" fontId="57" fillId="7" borderId="16" xfId="0" applyNumberFormat="1" applyFont="1" applyFill="1" applyBorder="1" applyAlignment="1" applyProtection="1">
      <alignment horizontal="right"/>
      <protection locked="0"/>
    </xf>
    <xf numFmtId="10" fontId="0" fillId="3" borderId="16" xfId="0" applyNumberFormat="1" applyFont="1" applyFill="1" applyBorder="1" applyAlignment="1" applyProtection="1"/>
    <xf numFmtId="166" fontId="3" fillId="3" borderId="16" xfId="0" applyNumberFormat="1" applyFont="1" applyFill="1" applyBorder="1" applyAlignment="1" applyProtection="1">
      <alignment horizontal="right"/>
    </xf>
    <xf numFmtId="10" fontId="68" fillId="3" borderId="16" xfId="2" applyNumberFormat="1" applyFont="1" applyFill="1" applyBorder="1" applyAlignment="1" applyProtection="1">
      <alignment horizontal="right"/>
    </xf>
    <xf numFmtId="166" fontId="9" fillId="9" borderId="16" xfId="0" applyNumberFormat="1" applyFont="1" applyFill="1" applyBorder="1" applyAlignment="1" applyProtection="1">
      <alignment horizontal="right" vertical="center"/>
    </xf>
    <xf numFmtId="166" fontId="67" fillId="3" borderId="16" xfId="0" applyNumberFormat="1" applyFont="1" applyFill="1" applyBorder="1" applyAlignment="1" applyProtection="1"/>
    <xf numFmtId="0" fontId="62" fillId="7" borderId="0" xfId="0" applyNumberFormat="1" applyFont="1" applyFill="1" applyAlignment="1" applyProtection="1">
      <alignment horizontal="center" vertical="center" wrapText="1"/>
    </xf>
    <xf numFmtId="0" fontId="55" fillId="0" borderId="17" xfId="0" applyFont="1" applyFill="1" applyBorder="1" applyAlignment="1" applyProtection="1">
      <alignment horizontal="right" vertical="center"/>
    </xf>
    <xf numFmtId="0" fontId="55" fillId="0" borderId="54" xfId="0" applyFont="1" applyFill="1" applyBorder="1" applyAlignment="1" applyProtection="1">
      <alignment horizontal="right" vertical="center"/>
    </xf>
    <xf numFmtId="0" fontId="60" fillId="7" borderId="16" xfId="0" applyFont="1" applyFill="1" applyBorder="1" applyAlignment="1" applyProtection="1">
      <alignment horizontal="right"/>
    </xf>
    <xf numFmtId="166" fontId="25" fillId="7" borderId="0" xfId="0" applyNumberFormat="1" applyFont="1" applyFill="1" applyAlignment="1" applyProtection="1">
      <alignment horizontal="right"/>
    </xf>
    <xf numFmtId="0" fontId="52" fillId="7" borderId="0" xfId="0" applyFont="1" applyFill="1" applyAlignment="1" applyProtection="1">
      <alignment horizontal="right"/>
    </xf>
    <xf numFmtId="0" fontId="54" fillId="7" borderId="0" xfId="0" applyFont="1" applyFill="1" applyAlignment="1" applyProtection="1">
      <alignment horizontal="right"/>
    </xf>
    <xf numFmtId="0" fontId="25" fillId="7" borderId="0" xfId="0" applyFont="1" applyFill="1" applyAlignment="1" applyProtection="1">
      <alignment horizontal="right" wrapText="1"/>
    </xf>
    <xf numFmtId="0" fontId="0" fillId="0" borderId="0" xfId="0" applyAlignment="1">
      <alignment horizontal="right" wrapText="1"/>
    </xf>
    <xf numFmtId="0" fontId="25" fillId="7" borderId="0" xfId="0" applyFont="1" applyFill="1" applyAlignment="1" applyProtection="1">
      <alignment horizontal="right"/>
    </xf>
    <xf numFmtId="9" fontId="64" fillId="7" borderId="55" xfId="0" applyNumberFormat="1" applyFont="1" applyFill="1" applyBorder="1" applyAlignment="1" applyProtection="1">
      <alignment horizontal="center" vertical="top" wrapText="1"/>
    </xf>
    <xf numFmtId="0" fontId="65" fillId="7" borderId="0" xfId="0" applyFont="1" applyFill="1" applyAlignment="1" applyProtection="1">
      <alignment horizontal="left" wrapText="1"/>
    </xf>
    <xf numFmtId="0" fontId="66" fillId="7" borderId="0" xfId="0" applyFont="1" applyFill="1" applyAlignment="1" applyProtection="1">
      <alignment horizontal="left"/>
    </xf>
    <xf numFmtId="166" fontId="9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 indent="2"/>
      <protection locked="0"/>
    </xf>
    <xf numFmtId="166" fontId="3" fillId="0" borderId="0" xfId="0" applyNumberFormat="1" applyFont="1" applyAlignment="1" applyProtection="1">
      <alignment horizontal="right"/>
    </xf>
    <xf numFmtId="166" fontId="9" fillId="0" borderId="0" xfId="0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0" fontId="3" fillId="0" borderId="38" xfId="0" applyFont="1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/>
      <protection locked="0"/>
    </xf>
    <xf numFmtId="166" fontId="24" fillId="0" borderId="24" xfId="0" applyNumberFormat="1" applyFont="1" applyBorder="1" applyAlignment="1" applyProtection="1">
      <alignment horizontal="center"/>
      <protection locked="0"/>
    </xf>
    <xf numFmtId="166" fontId="24" fillId="0" borderId="25" xfId="0" applyNumberFormat="1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3" fillId="0" borderId="25" xfId="0" applyFont="1" applyBorder="1" applyAlignment="1" applyProtection="1">
      <alignment horizontal="center"/>
      <protection locked="0"/>
    </xf>
    <xf numFmtId="9" fontId="3" fillId="0" borderId="24" xfId="0" applyNumberFormat="1" applyFont="1" applyBorder="1" applyAlignment="1" applyProtection="1">
      <alignment horizontal="center"/>
    </xf>
    <xf numFmtId="9" fontId="3" fillId="0" borderId="25" xfId="0" applyNumberFormat="1" applyFont="1" applyBorder="1" applyAlignment="1" applyProtection="1">
      <alignment horizontal="center"/>
    </xf>
    <xf numFmtId="1" fontId="3" fillId="0" borderId="24" xfId="0" applyNumberFormat="1" applyFont="1" applyBorder="1" applyAlignment="1" applyProtection="1">
      <alignment horizontal="center"/>
    </xf>
    <xf numFmtId="1" fontId="3" fillId="0" borderId="25" xfId="0" applyNumberFormat="1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left"/>
      <protection locked="0"/>
    </xf>
    <xf numFmtId="0" fontId="3" fillId="0" borderId="38" xfId="0" applyFont="1" applyBorder="1" applyAlignment="1" applyProtection="1">
      <alignment horizontal="center"/>
      <protection locked="0"/>
    </xf>
    <xf numFmtId="0" fontId="3" fillId="0" borderId="39" xfId="0" applyFont="1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  <protection locked="0"/>
    </xf>
    <xf numFmtId="9" fontId="3" fillId="0" borderId="24" xfId="0" applyNumberFormat="1" applyFont="1" applyBorder="1" applyAlignment="1" applyProtection="1">
      <alignment horizontal="center"/>
      <protection locked="0"/>
    </xf>
    <xf numFmtId="9" fontId="3" fillId="0" borderId="25" xfId="0" applyNumberFormat="1" applyFont="1" applyBorder="1" applyAlignment="1" applyProtection="1">
      <alignment horizontal="center"/>
      <protection locked="0"/>
    </xf>
    <xf numFmtId="14" fontId="3" fillId="0" borderId="24" xfId="0" applyNumberFormat="1" applyFont="1" applyBorder="1" applyAlignment="1" applyProtection="1">
      <alignment horizontal="center"/>
      <protection locked="0"/>
    </xf>
    <xf numFmtId="14" fontId="3" fillId="0" borderId="25" xfId="0" applyNumberFormat="1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25" fillId="0" borderId="0" xfId="0" applyFont="1" applyAlignment="1" applyProtection="1">
      <alignment horizontal="left"/>
      <protection locked="0"/>
    </xf>
    <xf numFmtId="0" fontId="25" fillId="0" borderId="2" xfId="0" applyFont="1" applyBorder="1" applyAlignment="1" applyProtection="1">
      <alignment horizontal="left"/>
      <protection locked="0"/>
    </xf>
    <xf numFmtId="0" fontId="2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166" fontId="25" fillId="0" borderId="44" xfId="0" applyNumberFormat="1" applyFont="1" applyBorder="1" applyAlignment="1" applyProtection="1">
      <alignment horizontal="right"/>
      <protection locked="0"/>
    </xf>
    <xf numFmtId="166" fontId="25" fillId="0" borderId="45" xfId="0" applyNumberFormat="1" applyFont="1" applyBorder="1" applyAlignment="1" applyProtection="1">
      <alignment horizontal="right"/>
      <protection locked="0"/>
    </xf>
    <xf numFmtId="9" fontId="3" fillId="0" borderId="0" xfId="0" applyNumberFormat="1" applyFont="1" applyAlignment="1" applyProtection="1">
      <alignment horizontal="right"/>
    </xf>
    <xf numFmtId="10" fontId="3" fillId="0" borderId="44" xfId="0" applyNumberFormat="1" applyFont="1" applyBorder="1" applyAlignment="1" applyProtection="1">
      <alignment horizontal="right"/>
      <protection locked="0"/>
    </xf>
    <xf numFmtId="10" fontId="3" fillId="0" borderId="45" xfId="0" applyNumberFormat="1" applyFont="1" applyBorder="1" applyAlignment="1" applyProtection="1">
      <alignment horizontal="right"/>
      <protection locked="0"/>
    </xf>
    <xf numFmtId="10" fontId="3" fillId="0" borderId="0" xfId="0" applyNumberFormat="1" applyFont="1" applyAlignment="1" applyProtection="1">
      <alignment horizontal="right"/>
    </xf>
    <xf numFmtId="0" fontId="3" fillId="0" borderId="44" xfId="0" applyFont="1" applyBorder="1" applyAlignment="1" applyProtection="1">
      <alignment horizontal="right"/>
      <protection locked="0"/>
    </xf>
    <xf numFmtId="0" fontId="3" fillId="0" borderId="45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166" fontId="3" fillId="0" borderId="24" xfId="0" applyNumberFormat="1" applyFont="1" applyBorder="1" applyAlignment="1" applyProtection="1">
      <alignment horizontal="center"/>
      <protection locked="0"/>
    </xf>
    <xf numFmtId="166" fontId="3" fillId="0" borderId="25" xfId="0" applyNumberFormat="1" applyFont="1" applyBorder="1" applyAlignment="1" applyProtection="1">
      <alignment horizontal="center"/>
      <protection locked="0"/>
    </xf>
    <xf numFmtId="0" fontId="24" fillId="8" borderId="21" xfId="0" applyFont="1" applyFill="1" applyBorder="1" applyAlignment="1" applyProtection="1">
      <alignment horizontal="center"/>
      <protection locked="0"/>
    </xf>
    <xf numFmtId="0" fontId="24" fillId="8" borderId="3" xfId="0" applyFont="1" applyFill="1" applyBorder="1" applyAlignment="1" applyProtection="1">
      <alignment horizontal="center"/>
      <protection locked="0"/>
    </xf>
    <xf numFmtId="0" fontId="24" fillId="8" borderId="4" xfId="0" applyFont="1" applyFill="1" applyBorder="1" applyAlignment="1" applyProtection="1">
      <alignment horizontal="center"/>
      <protection locked="0"/>
    </xf>
    <xf numFmtId="0" fontId="27" fillId="6" borderId="46" xfId="0" applyFont="1" applyFill="1" applyBorder="1" applyAlignment="1" applyProtection="1">
      <alignment horizontal="center" vertical="center"/>
      <protection locked="0"/>
    </xf>
    <xf numFmtId="0" fontId="27" fillId="6" borderId="30" xfId="0" applyFont="1" applyFill="1" applyBorder="1" applyAlignment="1" applyProtection="1">
      <alignment horizontal="center" vertical="center"/>
      <protection locked="0"/>
    </xf>
    <xf numFmtId="166" fontId="28" fillId="7" borderId="21" xfId="0" applyNumberFormat="1" applyFont="1" applyFill="1" applyBorder="1" applyAlignment="1" applyProtection="1">
      <alignment horizontal="center"/>
      <protection locked="0"/>
    </xf>
    <xf numFmtId="166" fontId="28" fillId="7" borderId="3" xfId="0" applyNumberFormat="1" applyFont="1" applyFill="1" applyBorder="1" applyAlignment="1" applyProtection="1">
      <alignment horizont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9" fontId="29" fillId="0" borderId="0" xfId="0" applyNumberFormat="1" applyFont="1" applyBorder="1" applyAlignment="1" applyProtection="1">
      <alignment horizontal="center" vertical="center"/>
      <protection locked="0"/>
    </xf>
    <xf numFmtId="0" fontId="13" fillId="8" borderId="3" xfId="0" applyFont="1" applyFill="1" applyBorder="1" applyAlignment="1" applyProtection="1">
      <alignment horizontal="center"/>
      <protection locked="0"/>
    </xf>
    <xf numFmtId="0" fontId="13" fillId="8" borderId="4" xfId="0" applyFont="1" applyFill="1" applyBorder="1" applyAlignment="1" applyProtection="1">
      <alignment horizontal="center"/>
      <protection locked="0"/>
    </xf>
    <xf numFmtId="0" fontId="25" fillId="7" borderId="21" xfId="0" applyFont="1" applyFill="1" applyBorder="1" applyAlignment="1" applyProtection="1">
      <alignment horizontal="center"/>
      <protection locked="0"/>
    </xf>
    <xf numFmtId="0" fontId="25" fillId="7" borderId="3" xfId="0" applyFont="1" applyFill="1" applyBorder="1" applyAlignment="1" applyProtection="1">
      <alignment horizontal="center"/>
      <protection locked="0"/>
    </xf>
    <xf numFmtId="0" fontId="25" fillId="7" borderId="4" xfId="0" applyFont="1" applyFill="1" applyBorder="1" applyAlignment="1" applyProtection="1">
      <alignment horizontal="center"/>
      <protection locked="0"/>
    </xf>
    <xf numFmtId="166" fontId="28" fillId="7" borderId="29" xfId="0" applyNumberFormat="1" applyFont="1" applyFill="1" applyBorder="1" applyAlignment="1" applyProtection="1">
      <alignment horizontal="center"/>
      <protection locked="0"/>
    </xf>
    <xf numFmtId="166" fontId="28" fillId="7" borderId="31" xfId="0" applyNumberFormat="1" applyFont="1" applyFill="1" applyBorder="1" applyAlignment="1" applyProtection="1">
      <alignment horizontal="center"/>
      <protection locked="0"/>
    </xf>
    <xf numFmtId="0" fontId="28" fillId="0" borderId="30" xfId="0" applyFont="1" applyBorder="1" applyAlignment="1" applyProtection="1">
      <alignment horizontal="left"/>
      <protection locked="0"/>
    </xf>
    <xf numFmtId="0" fontId="28" fillId="0" borderId="31" xfId="0" applyFont="1" applyBorder="1" applyAlignment="1" applyProtection="1">
      <alignment horizontal="left"/>
      <protection locked="0"/>
    </xf>
    <xf numFmtId="0" fontId="28" fillId="0" borderId="29" xfId="0" applyFont="1" applyBorder="1" applyAlignment="1" applyProtection="1">
      <alignment horizontal="center"/>
      <protection locked="0"/>
    </xf>
    <xf numFmtId="0" fontId="28" fillId="0" borderId="30" xfId="0" applyFont="1" applyBorder="1" applyAlignment="1" applyProtection="1">
      <alignment horizontal="center"/>
      <protection locked="0"/>
    </xf>
    <xf numFmtId="0" fontId="28" fillId="0" borderId="31" xfId="0" applyFont="1" applyBorder="1" applyAlignment="1" applyProtection="1">
      <alignment horizontal="center"/>
      <protection locked="0"/>
    </xf>
    <xf numFmtId="166" fontId="28" fillId="7" borderId="4" xfId="0" applyNumberFormat="1" applyFont="1" applyFill="1" applyBorder="1" applyAlignment="1" applyProtection="1">
      <alignment horizontal="center"/>
      <protection locked="0"/>
    </xf>
    <xf numFmtId="0" fontId="27" fillId="6" borderId="14" xfId="0" applyFont="1" applyFill="1" applyBorder="1" applyAlignment="1" applyProtection="1">
      <alignment horizontal="center" vertical="center"/>
      <protection locked="0"/>
    </xf>
    <xf numFmtId="0" fontId="27" fillId="6" borderId="22" xfId="0" applyFont="1" applyFill="1" applyBorder="1" applyAlignment="1" applyProtection="1">
      <alignment horizontal="center" vertic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166" fontId="5" fillId="7" borderId="0" xfId="0" applyNumberFormat="1" applyFont="1" applyFill="1" applyBorder="1" applyAlignment="1" applyProtection="1">
      <alignment horizontal="center"/>
      <protection locked="0"/>
    </xf>
    <xf numFmtId="166" fontId="4" fillId="0" borderId="5" xfId="2" applyNumberFormat="1" applyFont="1" applyBorder="1" applyAlignment="1" applyProtection="1">
      <alignment horizontal="center"/>
    </xf>
    <xf numFmtId="166" fontId="4" fillId="0" borderId="7" xfId="2" applyNumberFormat="1" applyFont="1" applyBorder="1" applyAlignment="1" applyProtection="1">
      <alignment horizontal="center"/>
    </xf>
    <xf numFmtId="0" fontId="10" fillId="6" borderId="14" xfId="0" applyFont="1" applyFill="1" applyBorder="1" applyAlignment="1" applyProtection="1">
      <alignment horizontal="left"/>
      <protection locked="0"/>
    </xf>
    <xf numFmtId="0" fontId="10" fillId="6" borderId="15" xfId="0" applyFont="1" applyFill="1" applyBorder="1" applyAlignment="1" applyProtection="1">
      <alignment horizontal="left"/>
      <protection locked="0"/>
    </xf>
    <xf numFmtId="0" fontId="5" fillId="3" borderId="21" xfId="0" applyFont="1" applyFill="1" applyBorder="1" applyAlignment="1" applyProtection="1">
      <alignment horizontal="left"/>
      <protection locked="0"/>
    </xf>
    <xf numFmtId="0" fontId="5" fillId="3" borderId="4" xfId="0" applyFont="1" applyFill="1" applyBorder="1" applyAlignment="1" applyProtection="1">
      <alignment horizontal="left"/>
      <protection locked="0"/>
    </xf>
    <xf numFmtId="166" fontId="5" fillId="0" borderId="34" xfId="2" applyNumberFormat="1" applyFont="1" applyBorder="1" applyAlignment="1" applyProtection="1">
      <alignment horizontal="center"/>
    </xf>
    <xf numFmtId="166" fontId="5" fillId="0" borderId="7" xfId="2" applyNumberFormat="1" applyFont="1" applyBorder="1" applyAlignment="1" applyProtection="1">
      <alignment horizontal="center"/>
    </xf>
    <xf numFmtId="0" fontId="5" fillId="7" borderId="21" xfId="0" applyFont="1" applyFill="1" applyBorder="1" applyAlignment="1" applyProtection="1">
      <alignment horizontal="left"/>
      <protection locked="0"/>
    </xf>
    <xf numFmtId="0" fontId="5" fillId="7" borderId="4" xfId="0" applyFont="1" applyFill="1" applyBorder="1" applyAlignment="1" applyProtection="1">
      <alignment horizontal="left"/>
      <protection locked="0"/>
    </xf>
    <xf numFmtId="0" fontId="5" fillId="7" borderId="6" xfId="0" applyNumberFormat="1" applyFont="1" applyFill="1" applyBorder="1" applyAlignment="1" applyProtection="1">
      <alignment horizontal="center"/>
    </xf>
    <xf numFmtId="0" fontId="5" fillId="7" borderId="7" xfId="0" applyNumberFormat="1" applyFont="1" applyFill="1" applyBorder="1" applyAlignment="1" applyProtection="1">
      <alignment horizontal="center"/>
    </xf>
    <xf numFmtId="169" fontId="5" fillId="7" borderId="0" xfId="0" applyNumberFormat="1" applyFont="1" applyFill="1" applyBorder="1" applyAlignment="1" applyProtection="1">
      <alignment horizontal="center"/>
      <protection locked="0"/>
    </xf>
    <xf numFmtId="166" fontId="5" fillId="0" borderId="5" xfId="0" applyNumberFormat="1" applyFont="1" applyBorder="1" applyAlignment="1" applyProtection="1">
      <alignment horizontal="center"/>
    </xf>
    <xf numFmtId="166" fontId="5" fillId="0" borderId="7" xfId="0" applyNumberFormat="1" applyFont="1" applyBorder="1" applyAlignment="1" applyProtection="1">
      <alignment horizontal="center"/>
    </xf>
    <xf numFmtId="10" fontId="5" fillId="0" borderId="5" xfId="2" applyNumberFormat="1" applyFont="1" applyBorder="1" applyAlignment="1" applyProtection="1">
      <alignment horizontal="center"/>
    </xf>
    <xf numFmtId="10" fontId="5" fillId="0" borderId="7" xfId="2" applyNumberFormat="1" applyFont="1" applyBorder="1" applyAlignment="1" applyProtection="1">
      <alignment horizontal="center"/>
    </xf>
    <xf numFmtId="0" fontId="4" fillId="0" borderId="5" xfId="0" applyNumberFormat="1" applyFont="1" applyBorder="1" applyAlignment="1" applyProtection="1">
      <alignment horizontal="center"/>
    </xf>
    <xf numFmtId="0" fontId="4" fillId="0" borderId="7" xfId="0" applyNumberFormat="1" applyFont="1" applyBorder="1" applyAlignment="1" applyProtection="1">
      <alignment horizontal="center"/>
    </xf>
    <xf numFmtId="0" fontId="27" fillId="6" borderId="14" xfId="0" applyFont="1" applyFill="1" applyBorder="1" applyAlignment="1" applyProtection="1">
      <alignment horizontal="center" vertical="top"/>
      <protection locked="0"/>
    </xf>
    <xf numFmtId="0" fontId="27" fillId="6" borderId="19" xfId="0" applyFont="1" applyFill="1" applyBorder="1" applyAlignment="1" applyProtection="1">
      <alignment horizontal="center" vertical="top"/>
      <protection locked="0"/>
    </xf>
    <xf numFmtId="0" fontId="27" fillId="6" borderId="22" xfId="0" applyFont="1" applyFill="1" applyBorder="1" applyAlignment="1" applyProtection="1">
      <alignment horizontal="center" vertical="top"/>
      <protection locked="0"/>
    </xf>
    <xf numFmtId="0" fontId="10" fillId="6" borderId="20" xfId="0" applyFont="1" applyFill="1" applyBorder="1" applyAlignment="1" applyProtection="1">
      <alignment horizontal="left"/>
      <protection locked="0"/>
    </xf>
    <xf numFmtId="0" fontId="10" fillId="6" borderId="2" xfId="0" applyFont="1" applyFill="1" applyBorder="1" applyAlignment="1" applyProtection="1">
      <alignment horizontal="left"/>
      <protection locked="0"/>
    </xf>
    <xf numFmtId="0" fontId="4" fillId="7" borderId="17" xfId="0" applyFont="1" applyFill="1" applyBorder="1" applyAlignment="1" applyProtection="1">
      <alignment horizontal="center"/>
      <protection locked="0"/>
    </xf>
    <xf numFmtId="0" fontId="4" fillId="7" borderId="18" xfId="0" applyFont="1" applyFill="1" applyBorder="1" applyAlignment="1" applyProtection="1">
      <alignment horizontal="center"/>
      <protection locked="0"/>
    </xf>
    <xf numFmtId="0" fontId="10" fillId="7" borderId="0" xfId="0" applyFont="1" applyFill="1" applyBorder="1" applyAlignment="1" applyProtection="1">
      <alignment horizontal="left"/>
      <protection locked="0"/>
    </xf>
    <xf numFmtId="0" fontId="10" fillId="7" borderId="2" xfId="0" applyFont="1" applyFill="1" applyBorder="1" applyAlignment="1" applyProtection="1">
      <alignment horizontal="left"/>
      <protection locked="0"/>
    </xf>
    <xf numFmtId="166" fontId="5" fillId="7" borderId="37" xfId="0" applyNumberFormat="1" applyFont="1" applyFill="1" applyBorder="1" applyAlignment="1" applyProtection="1">
      <alignment horizontal="center"/>
    </xf>
    <xf numFmtId="166" fontId="5" fillId="7" borderId="0" xfId="0" applyNumberFormat="1" applyFont="1" applyFill="1" applyBorder="1" applyAlignment="1" applyProtection="1">
      <alignment horizontal="center"/>
    </xf>
    <xf numFmtId="2" fontId="5" fillId="7" borderId="17" xfId="0" applyNumberFormat="1" applyFont="1" applyFill="1" applyBorder="1" applyAlignment="1" applyProtection="1">
      <alignment horizontal="center"/>
      <protection locked="0"/>
    </xf>
    <xf numFmtId="2" fontId="5" fillId="7" borderId="18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8" fillId="7" borderId="0" xfId="0" applyFont="1" applyFill="1" applyBorder="1" applyAlignment="1" applyProtection="1">
      <alignment horizontal="left"/>
      <protection locked="0"/>
    </xf>
    <xf numFmtId="0" fontId="22" fillId="0" borderId="40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14" fontId="5" fillId="0" borderId="5" xfId="0" applyNumberFormat="1" applyFont="1" applyBorder="1" applyAlignment="1" applyProtection="1">
      <alignment horizontal="center"/>
    </xf>
    <xf numFmtId="14" fontId="5" fillId="0" borderId="41" xfId="0" applyNumberFormat="1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32" fillId="0" borderId="51" xfId="0" applyFont="1" applyBorder="1" applyAlignment="1" applyProtection="1">
      <alignment horizontal="center"/>
    </xf>
    <xf numFmtId="0" fontId="32" fillId="0" borderId="10" xfId="0" applyFont="1" applyBorder="1" applyAlignment="1" applyProtection="1">
      <alignment horizontal="center"/>
    </xf>
    <xf numFmtId="0" fontId="13" fillId="6" borderId="0" xfId="0" applyFont="1" applyFill="1" applyBorder="1" applyAlignment="1" applyProtection="1">
      <alignment horizontal="center" vertical="center"/>
      <protection locked="0"/>
    </xf>
    <xf numFmtId="0" fontId="8" fillId="0" borderId="35" xfId="0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13" xfId="0" applyFont="1" applyBorder="1" applyAlignment="1" applyProtection="1">
      <alignment horizontal="center" vertical="center"/>
    </xf>
    <xf numFmtId="9" fontId="7" fillId="7" borderId="0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26" xfId="0" applyFont="1" applyBorder="1" applyAlignment="1" applyProtection="1">
      <alignment horizontal="right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52" xfId="0" applyFont="1" applyBorder="1" applyAlignment="1" applyProtection="1">
      <alignment horizontal="center"/>
      <protection locked="0"/>
    </xf>
    <xf numFmtId="0" fontId="13" fillId="7" borderId="21" xfId="0" applyFont="1" applyFill="1" applyBorder="1" applyAlignment="1" applyProtection="1">
      <alignment horizontal="center"/>
      <protection locked="0"/>
    </xf>
    <xf numFmtId="0" fontId="13" fillId="7" borderId="3" xfId="0" applyFont="1" applyFill="1" applyBorder="1" applyAlignment="1" applyProtection="1">
      <alignment horizontal="center"/>
      <protection locked="0"/>
    </xf>
    <xf numFmtId="0" fontId="13" fillId="7" borderId="4" xfId="0" applyFont="1" applyFill="1" applyBorder="1" applyAlignment="1" applyProtection="1">
      <alignment horizontal="center"/>
      <protection locked="0"/>
    </xf>
    <xf numFmtId="0" fontId="9" fillId="7" borderId="21" xfId="0" applyFont="1" applyFill="1" applyBorder="1" applyAlignment="1" applyProtection="1">
      <alignment horizontal="center"/>
      <protection locked="0"/>
    </xf>
    <xf numFmtId="0" fontId="9" fillId="7" borderId="3" xfId="0" applyFont="1" applyFill="1" applyBorder="1" applyAlignment="1" applyProtection="1">
      <alignment horizontal="center"/>
      <protection locked="0"/>
    </xf>
    <xf numFmtId="0" fontId="9" fillId="7" borderId="4" xfId="0" applyFont="1" applyFill="1" applyBorder="1" applyAlignment="1" applyProtection="1">
      <alignment horizontal="center"/>
      <protection locked="0"/>
    </xf>
    <xf numFmtId="4" fontId="4" fillId="7" borderId="47" xfId="0" applyNumberFormat="1" applyFont="1" applyFill="1" applyBorder="1" applyAlignment="1" applyProtection="1">
      <alignment horizontal="center" vertical="center"/>
      <protection locked="0"/>
    </xf>
    <xf numFmtId="9" fontId="5" fillId="7" borderId="0" xfId="0" applyNumberFormat="1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 vertical="top"/>
      <protection locked="0"/>
    </xf>
    <xf numFmtId="0" fontId="5" fillId="7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1" fontId="5" fillId="7" borderId="6" xfId="0" applyNumberFormat="1" applyFont="1" applyFill="1" applyBorder="1" applyAlignment="1" applyProtection="1">
      <alignment horizontal="center"/>
    </xf>
    <xf numFmtId="1" fontId="5" fillId="7" borderId="7" xfId="0" applyNumberFormat="1" applyFont="1" applyFill="1" applyBorder="1" applyAlignment="1" applyProtection="1">
      <alignment horizontal="center"/>
    </xf>
    <xf numFmtId="166" fontId="4" fillId="0" borderId="5" xfId="0" applyNumberFormat="1" applyFont="1" applyBorder="1" applyAlignment="1" applyProtection="1">
      <alignment horizontal="center"/>
    </xf>
    <xf numFmtId="166" fontId="4" fillId="0" borderId="7" xfId="0" applyNumberFormat="1" applyFont="1" applyBorder="1" applyAlignment="1" applyProtection="1">
      <alignment horizontal="center"/>
    </xf>
    <xf numFmtId="0" fontId="10" fillId="6" borderId="19" xfId="0" applyFont="1" applyFill="1" applyBorder="1" applyAlignment="1" applyProtection="1">
      <alignment horizontal="left"/>
      <protection locked="0"/>
    </xf>
    <xf numFmtId="166" fontId="5" fillId="0" borderId="5" xfId="3" applyNumberFormat="1" applyFont="1" applyFill="1" applyBorder="1" applyAlignment="1" applyProtection="1">
      <alignment horizontal="center" vertical="center" shrinkToFit="1"/>
    </xf>
    <xf numFmtId="166" fontId="5" fillId="0" borderId="7" xfId="3" applyNumberFormat="1" applyFont="1" applyFill="1" applyBorder="1" applyAlignment="1" applyProtection="1">
      <alignment horizontal="center" vertical="center" shrinkToFit="1"/>
    </xf>
    <xf numFmtId="10" fontId="4" fillId="0" borderId="5" xfId="2" applyNumberFormat="1" applyFont="1" applyBorder="1" applyAlignment="1" applyProtection="1">
      <alignment horizontal="center"/>
    </xf>
    <xf numFmtId="10" fontId="4" fillId="0" borderId="7" xfId="2" applyNumberFormat="1" applyFont="1" applyBorder="1" applyAlignment="1" applyProtection="1">
      <alignment horizontal="center"/>
    </xf>
    <xf numFmtId="166" fontId="4" fillId="7" borderId="0" xfId="0" applyNumberFormat="1" applyFont="1" applyFill="1" applyBorder="1" applyAlignment="1" applyProtection="1">
      <alignment horizontal="center"/>
    </xf>
    <xf numFmtId="0" fontId="5" fillId="7" borderId="28" xfId="0" applyFont="1" applyFill="1" applyBorder="1" applyAlignment="1" applyProtection="1">
      <alignment horizontal="center"/>
      <protection locked="0"/>
    </xf>
    <xf numFmtId="9" fontId="5" fillId="0" borderId="5" xfId="3" applyNumberFormat="1" applyFont="1" applyFill="1" applyBorder="1" applyAlignment="1" applyProtection="1">
      <alignment horizontal="center" vertical="center" shrinkToFit="1"/>
    </xf>
    <xf numFmtId="9" fontId="5" fillId="0" borderId="7" xfId="3" applyNumberFormat="1" applyFont="1" applyFill="1" applyBorder="1" applyAlignment="1" applyProtection="1">
      <alignment horizontal="center" vertical="center" shrinkToFit="1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26" fillId="2" borderId="0" xfId="0" applyFont="1" applyFill="1" applyBorder="1" applyAlignment="1" applyProtection="1">
      <alignment horizontal="center" vertical="center"/>
      <protection locked="0"/>
    </xf>
    <xf numFmtId="166" fontId="7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7" borderId="19" xfId="0" applyFont="1" applyFill="1" applyBorder="1" applyAlignment="1" applyProtection="1">
      <alignment horizontal="center" vertical="center"/>
      <protection locked="0"/>
    </xf>
    <xf numFmtId="0" fontId="7" fillId="7" borderId="22" xfId="0" applyFont="1" applyFill="1" applyBorder="1" applyAlignment="1" applyProtection="1">
      <alignment horizontal="center" vertical="center"/>
      <protection locked="0"/>
    </xf>
    <xf numFmtId="14" fontId="4" fillId="0" borderId="0" xfId="0" applyNumberFormat="1" applyFont="1" applyBorder="1" applyAlignment="1" applyProtection="1">
      <alignment horizontal="right" vertical="center"/>
      <protection locked="0"/>
    </xf>
    <xf numFmtId="14" fontId="4" fillId="0" borderId="2" xfId="0" applyNumberFormat="1" applyFont="1" applyBorder="1" applyAlignment="1" applyProtection="1">
      <alignment horizontal="right" vertical="center"/>
      <protection locked="0"/>
    </xf>
    <xf numFmtId="0" fontId="13" fillId="6" borderId="19" xfId="0" applyFont="1" applyFill="1" applyBorder="1" applyAlignment="1" applyProtection="1">
      <alignment horizontal="center" vertical="center"/>
      <protection locked="0"/>
    </xf>
    <xf numFmtId="0" fontId="33" fillId="6" borderId="47" xfId="0" applyFont="1" applyFill="1" applyBorder="1" applyAlignment="1" applyProtection="1">
      <alignment horizontal="center" vertical="center" wrapText="1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24" fillId="0" borderId="5" xfId="0" applyFont="1" applyBorder="1" applyAlignment="1" applyProtection="1">
      <alignment horizontal="center"/>
    </xf>
    <xf numFmtId="0" fontId="24" fillId="0" borderId="6" xfId="0" applyFont="1" applyBorder="1" applyAlignment="1" applyProtection="1">
      <alignment horizontal="center"/>
    </xf>
    <xf numFmtId="4" fontId="13" fillId="7" borderId="47" xfId="0" applyNumberFormat="1" applyFont="1" applyFill="1" applyBorder="1" applyAlignment="1" applyProtection="1">
      <alignment horizontal="center" vertical="center"/>
      <protection locked="0"/>
    </xf>
    <xf numFmtId="166" fontId="5" fillId="7" borderId="0" xfId="2" applyNumberFormat="1" applyFont="1" applyFill="1" applyBorder="1" applyAlignment="1" applyProtection="1">
      <alignment horizontal="center"/>
    </xf>
    <xf numFmtId="0" fontId="20" fillId="0" borderId="0" xfId="0" applyFont="1" applyBorder="1" applyAlignment="1" applyProtection="1">
      <alignment horizontal="left"/>
      <protection locked="0"/>
    </xf>
    <xf numFmtId="166" fontId="5" fillId="0" borderId="0" xfId="0" applyNumberFormat="1" applyFont="1" applyBorder="1" applyAlignment="1" applyProtection="1">
      <alignment horizontal="center"/>
    </xf>
    <xf numFmtId="0" fontId="20" fillId="0" borderId="2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center"/>
    </xf>
    <xf numFmtId="0" fontId="10" fillId="7" borderId="0" xfId="0" applyFont="1" applyFill="1" applyBorder="1" applyAlignment="1" applyProtection="1">
      <alignment horizontal="center" vertical="top"/>
      <protection locked="0"/>
    </xf>
    <xf numFmtId="0" fontId="5" fillId="0" borderId="41" xfId="0" applyFont="1" applyBorder="1" applyAlignment="1" applyProtection="1">
      <alignment horizontal="center"/>
    </xf>
    <xf numFmtId="2" fontId="36" fillId="0" borderId="0" xfId="5" applyNumberFormat="1" applyFont="1" applyAlignment="1" applyProtection="1">
      <alignment horizontal="center"/>
      <protection locked="0"/>
    </xf>
  </cellXfs>
  <cellStyles count="9">
    <cellStyle name="Hipervínculo" xfId="8" builtinId="8"/>
    <cellStyle name="Millares" xfId="1" builtinId="3"/>
    <cellStyle name="Millares 2" xfId="6"/>
    <cellStyle name="Millares 3" xfId="7"/>
    <cellStyle name="Moneda_TARJETA CON # USUARIO" xfId="3"/>
    <cellStyle name="Normal" xfId="0" builtinId="0"/>
    <cellStyle name="Normal 2" xfId="5"/>
    <cellStyle name="Normal 21" xfId="4"/>
    <cellStyle name="Porcentaje" xfId="2" builtinId="5"/>
  </cellStyles>
  <dxfs count="0"/>
  <tableStyles count="0" defaultTableStyle="TableStyleMedium2" defaultPivotStyle="PivotStyleLight16"/>
  <colors>
    <mruColors>
      <color rgb="FFFF9933"/>
      <color rgb="FFFF6600"/>
      <color rgb="FF000080"/>
      <color rgb="FF666699"/>
      <color rgb="FF0A2060"/>
      <color rgb="FFB2B2B2"/>
      <color rgb="FF9966FF"/>
      <color rgb="FFCC99FF"/>
      <color rgb="FFFF00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408928</xdr:colOff>
      <xdr:row>0</xdr:row>
      <xdr:rowOff>0</xdr:rowOff>
    </xdr:from>
    <xdr:to>
      <xdr:col>4</xdr:col>
      <xdr:colOff>1185087</xdr:colOff>
      <xdr:row>5</xdr:row>
      <xdr:rowOff>51289</xdr:rowOff>
    </xdr:to>
    <xdr:grpSp>
      <xdr:nvGrpSpPr>
        <xdr:cNvPr id="2" name="1 Grupo"/>
        <xdr:cNvGrpSpPr/>
      </xdr:nvGrpSpPr>
      <xdr:grpSpPr>
        <a:xfrm>
          <a:off x="3609328" y="0"/>
          <a:ext cx="776159" cy="899014"/>
          <a:chOff x="5295986" y="0"/>
          <a:chExt cx="776159" cy="871904"/>
        </a:xfrm>
        <a:solidFill>
          <a:srgbClr val="005595"/>
        </a:solidFill>
      </xdr:grpSpPr>
      <xdr:sp macro="" textlink="">
        <xdr:nvSpPr>
          <xdr:cNvPr id="3" name="2 Rectángulo redondeado"/>
          <xdr:cNvSpPr/>
        </xdr:nvSpPr>
        <xdr:spPr>
          <a:xfrm>
            <a:off x="5296855" y="0"/>
            <a:ext cx="775290" cy="564346"/>
          </a:xfrm>
          <a:prstGeom prst="roundRect">
            <a:avLst>
              <a:gd name="adj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PA" sz="1100"/>
          </a:p>
        </xdr:txBody>
      </xdr:sp>
      <xdr:sp macro="" textlink="">
        <xdr:nvSpPr>
          <xdr:cNvPr id="4" name="3 Rectángulo redondeado"/>
          <xdr:cNvSpPr/>
        </xdr:nvSpPr>
        <xdr:spPr>
          <a:xfrm>
            <a:off x="5295986" y="302327"/>
            <a:ext cx="775290" cy="569577"/>
          </a:xfrm>
          <a:prstGeom prst="roundRect">
            <a:avLst>
              <a:gd name="adj" fmla="val 3230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PA" sz="1100"/>
          </a:p>
        </xdr:txBody>
      </xdr:sp>
    </xdr:grpSp>
    <xdr:clientData/>
  </xdr:twoCellAnchor>
  <xdr:twoCellAnchor editAs="oneCell">
    <xdr:from>
      <xdr:col>4</xdr:col>
      <xdr:colOff>518013</xdr:colOff>
      <xdr:row>0</xdr:row>
      <xdr:rowOff>139213</xdr:rowOff>
    </xdr:from>
    <xdr:to>
      <xdr:col>4</xdr:col>
      <xdr:colOff>1073648</xdr:colOff>
      <xdr:row>4</xdr:row>
      <xdr:rowOff>7328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51763" y="139213"/>
          <a:ext cx="555635" cy="5348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154789</xdr:colOff>
      <xdr:row>0</xdr:row>
      <xdr:rowOff>35719</xdr:rowOff>
    </xdr:from>
    <xdr:to>
      <xdr:col>8</xdr:col>
      <xdr:colOff>9</xdr:colOff>
      <xdr:row>2</xdr:row>
      <xdr:rowOff>178595</xdr:rowOff>
    </xdr:to>
    <xdr:pic>
      <xdr:nvPicPr>
        <xdr:cNvPr id="2" name="Imagen 1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36227" y="35719"/>
          <a:ext cx="2750345" cy="523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166695</xdr:colOff>
      <xdr:row>0</xdr:row>
      <xdr:rowOff>95250</xdr:rowOff>
    </xdr:from>
    <xdr:to>
      <xdr:col>8</xdr:col>
      <xdr:colOff>107156</xdr:colOff>
      <xdr:row>3</xdr:row>
      <xdr:rowOff>47626</xdr:rowOff>
    </xdr:to>
    <xdr:pic>
      <xdr:nvPicPr>
        <xdr:cNvPr id="3" name="Imagen 2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70" y="95250"/>
          <a:ext cx="2488399" cy="523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0</xdr:row>
      <xdr:rowOff>47631</xdr:rowOff>
    </xdr:from>
    <xdr:to>
      <xdr:col>2</xdr:col>
      <xdr:colOff>773906</xdr:colOff>
      <xdr:row>1</xdr:row>
      <xdr:rowOff>261936</xdr:rowOff>
    </xdr:to>
    <xdr:pic>
      <xdr:nvPicPr>
        <xdr:cNvPr id="28" name="Imagen 27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6" y="47631"/>
          <a:ext cx="2436020" cy="47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71437</xdr:colOff>
      <xdr:row>0</xdr:row>
      <xdr:rowOff>47631</xdr:rowOff>
    </xdr:from>
    <xdr:to>
      <xdr:col>2</xdr:col>
      <xdr:colOff>904875</xdr:colOff>
      <xdr:row>1</xdr:row>
      <xdr:rowOff>260893</xdr:rowOff>
    </xdr:to>
    <xdr:pic>
      <xdr:nvPicPr>
        <xdr:cNvPr id="29" name="Imagen 28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" y="47631"/>
          <a:ext cx="2440782" cy="475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59533</xdr:colOff>
      <xdr:row>101</xdr:row>
      <xdr:rowOff>107160</xdr:rowOff>
    </xdr:from>
    <xdr:to>
      <xdr:col>2</xdr:col>
      <xdr:colOff>881063</xdr:colOff>
      <xdr:row>102</xdr:row>
      <xdr:rowOff>248985</xdr:rowOff>
    </xdr:to>
    <xdr:pic>
      <xdr:nvPicPr>
        <xdr:cNvPr id="31" name="Imagen 30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3" y="15025691"/>
          <a:ext cx="2428874" cy="475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76200</xdr:rowOff>
    </xdr:from>
    <xdr:to>
      <xdr:col>8</xdr:col>
      <xdr:colOff>371475</xdr:colOff>
      <xdr:row>47</xdr:row>
      <xdr:rowOff>142875</xdr:rowOff>
    </xdr:to>
    <xdr:sp macro="" textlink="">
      <xdr:nvSpPr>
        <xdr:cNvPr id="2" name="CuadroTexto 1"/>
        <xdr:cNvSpPr txBox="1"/>
      </xdr:nvSpPr>
      <xdr:spPr>
        <a:xfrm>
          <a:off x="104774" y="76200"/>
          <a:ext cx="6819901" cy="902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Guía de Uso de las Hojas de Cotización y Análisis de Préstamos de Autos</a:t>
          </a: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indent="0" algn="l"/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Hoja de cotización</a:t>
          </a:r>
        </a:p>
        <a:p>
          <a:pPr marL="0" indent="0" algn="l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Completar toda la información para el cálculo.</a:t>
          </a:r>
        </a:p>
        <a:p>
          <a:pPr marL="0" indent="0" algn="l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dato de salario, se colocará, pero esta pintado de color blanco para que al momento de la impresión del documento no se vea.</a:t>
          </a:r>
        </a:p>
        <a:p>
          <a:pPr marL="0" indent="0" algn="l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En lo columna M, las filas de forma de pago y seguro de vida se oculta el número que se le asigna para los cálculos</a:t>
          </a:r>
        </a:p>
        <a:p>
          <a:pPr marL="0" indent="0" algn="l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Hoja / Préstamo de Auto - Comité de Crédito </a:t>
          </a:r>
        </a:p>
        <a:p>
          <a:pPr marL="0" indent="0" algn="l"/>
          <a:endParaRPr lang="es-PA" sz="1100" b="1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Todos los datos generales vienen de los datos de la cotización.</a:t>
          </a:r>
        </a:p>
        <a:p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No. de ente: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colocar el número de cliente en BG que viene de las referencias internas de Cobis. 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No. de colaborador: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colocar el número del colaborador que indica en la solicitud del préstamo.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Categoría del préstamo: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indicar el tipo de categoría.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auto,</a:t>
          </a:r>
          <a:r>
            <a:rPr lang="es-PA" sz="1100" b="1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modelo, marca, año del auto, agencia: </a:t>
          </a:r>
          <a:r>
            <a:rPr lang="es-PA" sz="1100" b="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completar</a:t>
          </a:r>
        </a:p>
        <a:p>
          <a:pPr fontAlgn="base"/>
          <a:endParaRPr lang="es-PA" sz="1100" b="0" baseline="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Todos los datos de la oferta de Finanzas Generales, vienen de los datos de la cotización, no hay que completar nada.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Excepción:   ganchar las excepciones y de requerir ampliar anotar en la línea de excepción.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condiciones: vienen de los datos de la cotización.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Firmar y colocar fecha del análisis</a:t>
          </a:r>
        </a:p>
        <a:p>
          <a:endParaRPr lang="es-PA" sz="1100" b="1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Hoja / Préstamo Personal - Capital Humano</a:t>
          </a:r>
        </a:p>
        <a:p>
          <a:pPr marL="0" indent="0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PA" sz="1100" b="1" u="none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contacto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: seleccionar de la lista.</a:t>
          </a:r>
        </a:p>
        <a:p>
          <a:pPr marL="0" indent="0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No. de cotizaciones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: indicar cuantas cotizaciones se le reaizó al colaborador para el trámite en proceso.</a:t>
          </a:r>
        </a:p>
        <a:p>
          <a:pPr marL="0" indent="0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PA" sz="1100" b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Condición del cliente: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colocar todos los compromisos por descuento directo y pago voluntario del colaborador, colocar cero en las mensualidades de los compromisos a cancelar y colocar los datos del nuevo préstamo.</a:t>
          </a:r>
        </a:p>
        <a:p>
          <a:pPr marL="0" indent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indent="0"/>
          <a:r>
            <a:rPr lang="es-PA" sz="1100" b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Excepciones/comentarios: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seleccionar o ganchar, deben ser iguales a las datos  indicados en la hoja de Préstamo Personal - Comité de Crédito.</a:t>
          </a:r>
        </a:p>
        <a:p>
          <a:pPr marL="0" indent="0"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PA" sz="1100" b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condiciones</a:t>
          </a:r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vienen de los datos de la cotización.</a:t>
          </a:r>
        </a:p>
        <a:p>
          <a:pPr marL="0" indent="0"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Firmar y colocar fecha de l análisis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</xdr:row>
      <xdr:rowOff>95250</xdr:rowOff>
    </xdr:from>
    <xdr:to>
      <xdr:col>8</xdr:col>
      <xdr:colOff>523873</xdr:colOff>
      <xdr:row>71</xdr:row>
      <xdr:rowOff>114300</xdr:rowOff>
    </xdr:to>
    <xdr:sp macro="" textlink="">
      <xdr:nvSpPr>
        <xdr:cNvPr id="2" name="CuadroTexto 1"/>
        <xdr:cNvSpPr txBox="1"/>
      </xdr:nvSpPr>
      <xdr:spPr>
        <a:xfrm>
          <a:off x="66674" y="285750"/>
          <a:ext cx="7010399" cy="1335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A" sz="12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Guía de Uso de las Hojas de Cotización y Análisis de Préstamos Personales</a:t>
          </a: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r>
            <a:rPr lang="es-PA" sz="11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s-PA" sz="1100" b="1" u="sng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Cotización</a:t>
          </a:r>
          <a:endParaRPr lang="es-PA" sz="1100" u="sng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debe seleccionar de la lista desplegable la información para </a:t>
          </a:r>
          <a:r>
            <a:rPr lang="es-PA" sz="1100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Contacto</a:t>
          </a:r>
          <a:r>
            <a:rPr lang="es-PA" sz="1100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deben llenar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Contacto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Cotización</a:t>
          </a:r>
          <a:r>
            <a:rPr lang="es-PA" sz="1100" b="0" i="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siguiendo el orden de mes-día-año para las fechas), y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Número de Cotizaciones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Los campos de </a:t>
          </a:r>
          <a:r>
            <a:rPr lang="es-PA" sz="1100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Contacto, Fecha de Contacto, Fecha de Cotización y Número de Cotizaciones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encuentran agrupados y se pueden ocultar o mostrar haciendo click sobre los números 1 y 2 ó los signo más (+) y menos (-) que aparecen en el panel del lado izquierdo; por lo que si no se desea ver en la impresión, se puede ocultar y no aparecerán en la misma.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Ejecutivo de negocios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deberá seleccionar su nombre de la lista desplegable; luego seleccionar, también de una lista</a:t>
          </a:r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la Categoría del Trámite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y proceder a llenar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Análisis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que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refiere a la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fecha del día en que se realizan estas tareas de llenar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las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hojas de Cotización como el Análisis, siguiendo el orden de mes-día-año. Estos datos se copiarán automáticamente a la hoja de Análisis.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 los datos personales del cliente se deben llenar los siguientes campos: 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Nombre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Cédula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Posición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Años de Servicio Actual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Años de Servicio Anterior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Número del Colaborador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Número de Ente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% de Recargo del Seguro de vida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Nacimiento del cliente</a:t>
          </a:r>
        </a:p>
        <a:p>
          <a:pPr lvl="0"/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Nombre de Feria,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si el automóvil se ha cotizado en Feria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Nombre de la agencia, de ser cotizado el auto en una agencia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El Valor del automóvil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El Campo Otra, que es el Nombre de la Aseguradora de Auto, si es una compañía diferente de General de Seguros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La marca, el modelo y año del automóvil.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Letra del auto y la Capacidad de pago</a:t>
          </a:r>
          <a:endParaRPr lang="es-PA" sz="1100">
            <a:solidFill>
              <a:srgbClr val="FF0066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campo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Edad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llenará por fórmula una vez que llene el campo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Nacimiento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por lo que debe llenar este primero y no escribir en el campo de Edad. 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deberá seleccionar de las listas que se proporcionan para completar los campos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Trabaja en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Seguro de Vida, Forma de pago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préstamo</a:t>
          </a:r>
          <a:r>
            <a:rPr lang="es-PA" sz="1100" b="0" i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Clasificación del préstamo</a:t>
          </a:r>
          <a:r>
            <a:rPr lang="es-PA" sz="1100" b="1" i="1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Tipo de Auto y Mercado, </a:t>
          </a:r>
          <a:r>
            <a:rPr lang="es-PA" sz="1100" b="0" i="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aunque éste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por lo general es Objetivo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8.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Dentro de la sección de Oferta de Finanzas Generales se deberá llenar el campo de </a:t>
          </a:r>
          <a:r>
            <a:rPr lang="es-PA" sz="1100" b="1" i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Abono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inicial, Seguro de Auto, 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Tasa del banco, N° de Pagos o plazo</a:t>
          </a:r>
          <a:r>
            <a:rPr lang="es-PA" sz="1100" b="0" i="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y </a:t>
          </a:r>
          <a:r>
            <a:rPr lang="es-PA" sz="1100" b="1" i="1" u="sng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Póliza de auto (mens).</a:t>
          </a:r>
          <a:endParaRPr lang="es-PA" sz="1100" b="1" i="1" u="sng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El 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Costo del Auto, I.T.B.M., el Costo Total, la Base a Financiar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, e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l </a:t>
          </a:r>
          <a:r>
            <a:rPr lang="es-PA" sz="1100" b="1" i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F.E.C.I.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 y la </a:t>
          </a:r>
          <a:r>
            <a:rPr lang="es-PA" sz="1100" b="1" i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Tasa a Cobrar 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se calculan por fórmula</a:t>
          </a:r>
        </a:p>
        <a:p>
          <a:pPr lvl="0"/>
          <a:r>
            <a:rPr lang="es-PA" sz="1100" b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10.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También el </a:t>
          </a:r>
          <a:r>
            <a:rPr lang="es-PA" sz="1100" b="1" i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Total a Financiar,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los Gastos Legales, </a:t>
          </a:r>
          <a:r>
            <a:rPr lang="es-PA" sz="1100" b="1" i="1" u="sng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el plazo de Póliza de auto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, la Mensualidad</a:t>
          </a:r>
          <a:r>
            <a:rPr lang="es-PA" sz="1100" b="0" i="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el 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Total de Mensualidad y Plazo más diciembre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(dependiendo del Número de pagos) se completan por fórmula automáticamente.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11. </a:t>
          </a:r>
          <a:r>
            <a:rPr lang="es-PA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 debe señalar con el número 1 ó 2, si tiene o no seguro, respectivamente,  para efecto de la fórmula. Ya que casi siempre el cliente tendrá seguro, el número 1 ya se encuentra escrito en el campo; de lo contrario tendrá que llenarlo.</a:t>
          </a:r>
        </a:p>
        <a:p>
          <a:pPr lvl="0"/>
          <a:r>
            <a:rPr lang="es-PA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12.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Pagos mensuales anteriores, Mensualidad de Préstamo FG, Condición Final del Cliente y el Porcentaje (%) de endeudamiento total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completan por fórmulas.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13.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 seleccionar de los datos en lista para completar los campos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Propósito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y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referencias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15.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campo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Excepción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deberá llenar según alguna otra excepción que se observe, sea el ejecutivo de negocios o el comité.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16.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Excepción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 llenar con las opciones señaladas en el Resumen de Excepciones.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17.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En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Excepciones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 escoger una o varios de las excepciones que presenta el cliente, haciendo click sobre la casilla.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18.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Los campos que aparecen en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Condiciones de Aprobación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completarán por fórmulas y estos datos se copiarán automáticamente a la hoja de Análisis.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19.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Ejecutivo de Negocios y el Comité de Crédito pueden llenar con las observaciones que consideren importante, el 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cuadro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Comentarios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Al final se debe llenar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y la Firma de la persona que aprueba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y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aprobación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s-P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r>
            <a:rPr lang="es-PA" sz="11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II. </a:t>
          </a:r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Análisis</a:t>
          </a:r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debe llenar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Salario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del Cliente.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Capacidad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completará por fórmula según el porcentaje establecido. El resto de los datos de la primera sección aparecerán automáticamente copiados de la Hoja de Cotización.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debe llenar del cuadro de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Condición Actual del cliente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los campos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Producto, Acreedor, Forma de pago, Límite o Monto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dependiendo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del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producto,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Referencia Apc, Saldo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s-PA" sz="11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 campo de </a:t>
          </a:r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Mensualidad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del producto </a:t>
          </a:r>
          <a:r>
            <a:rPr lang="es-PA" sz="1100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Tarjetas de Crédito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calcula por fórmula, para los demás productos deberá llenarse. Los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totales de Saldo y Mensualidad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por producto y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gran Total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 todos los productos se completan por fórmula. 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La sección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Indicadores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 por fórmula también.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Propósito, Tipo de referencias, Excepción y Tipo de Excepción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 con la información llenada en la hoja de cotización la cual se copia de forma automática.  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En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Excepciones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 escoger una o varios de las excepciones que presenta el cliente, haciendo click sobre la casilla.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Los campos que aparecen en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Condiciones de Aprobación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completarán por fórmulas y estos datos son un reflejo o copia de los que aparecen en la hoja de Cotización. 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Al final se debe llenar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y la Firma de la persona que aprueba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y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aprobación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s-PA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Los campos que se llenan por fórmula o se copian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 forma automática se encuentran bloqueados</a:t>
          </a:r>
          <a:r>
            <a:rPr lang="es-PA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</a:t>
          </a:r>
          <a:r>
            <a:rPr lang="es-P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PA">
            <a:effectLst/>
          </a:endParaRPr>
        </a:p>
        <a:p>
          <a:endParaRPr lang="es-P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gonzalez/AppData/Local/Microsoft/Windows/Temporary%20Internet%20Files/Content.Outlook/7P4VQTBU/Hoja%20de%20calculo%20PP_correcci&#243;n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gonzalez/AppData/Local/Microsoft/Windows/Temporary%20Internet%20Files/Content.Outlook/7P4VQTBU/hoja%20de%20cotizaci&#243;n%20PP_no%20guardar%20Version6%20(2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dcsrvarch0\Documents%20and%20Settings\ydelacruz\Configuraci&#243;n%20local\Archivos%20temporales%20de%20Internet\Content.Outlook\IBFC5ANQ\form_pr&#233;sta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Cotización-Análisis_personal"/>
      <sheetName val="PORTADA DE CARPETA"/>
      <sheetName val="Guía de uso "/>
      <sheetName val="Información_listas"/>
      <sheetName val="Hoja1"/>
    </sheetNames>
    <sheetDataSet>
      <sheetData sheetId="0"/>
      <sheetData sheetId="1">
        <row r="12">
          <cell r="C12" t="e">
            <v>#REF!</v>
          </cell>
          <cell r="F12" t="e">
            <v>#REF!</v>
          </cell>
        </row>
        <row r="14">
          <cell r="K14" t="e">
            <v>#REF!</v>
          </cell>
        </row>
        <row r="23">
          <cell r="C23">
            <v>7.0000000000000007E-2</v>
          </cell>
        </row>
        <row r="25">
          <cell r="C25" t="e">
            <v>#REF!</v>
          </cell>
        </row>
        <row r="58">
          <cell r="B58" t="str">
            <v>Otros Fines de Consumo</v>
          </cell>
        </row>
      </sheetData>
      <sheetData sheetId="2" refreshError="1"/>
      <sheetData sheetId="3" refreshError="1"/>
      <sheetData sheetId="4">
        <row r="5">
          <cell r="C5" t="str">
            <v>Elegir una opción</v>
          </cell>
          <cell r="E5" t="str">
            <v>Elegir una opción</v>
          </cell>
          <cell r="H5" t="str">
            <v>Elegir una opción</v>
          </cell>
          <cell r="I5" t="str">
            <v>Elegir una opción</v>
          </cell>
        </row>
        <row r="6">
          <cell r="C6" t="str">
            <v>Banco General</v>
          </cell>
          <cell r="E6" t="str">
            <v>Nuevo</v>
          </cell>
          <cell r="H6" t="str">
            <v>Descuento directo</v>
          </cell>
          <cell r="I6" t="str">
            <v>Compra de Muebles y Enseres</v>
          </cell>
        </row>
        <row r="7">
          <cell r="C7" t="str">
            <v>BG Valores</v>
          </cell>
          <cell r="E7" t="str">
            <v>Refinanciamiento</v>
          </cell>
          <cell r="H7" t="str">
            <v>Cargo a cuenta</v>
          </cell>
          <cell r="I7" t="str">
            <v>Reparaciones</v>
          </cell>
        </row>
        <row r="8">
          <cell r="C8" t="str">
            <v>General de Seguros</v>
          </cell>
          <cell r="E8" t="str">
            <v>Traspaso</v>
          </cell>
          <cell r="I8" t="str">
            <v>Otros Fines de Consumo</v>
          </cell>
        </row>
        <row r="9">
          <cell r="C9" t="str">
            <v>Profuturo</v>
          </cell>
          <cell r="I9" t="str">
            <v>Vacaciones y Entretenimiento</v>
          </cell>
        </row>
        <row r="10">
          <cell r="C10" t="str">
            <v>Vale General, S.A.</v>
          </cell>
          <cell r="I10" t="str">
            <v>Consolidación de Deudas</v>
          </cell>
        </row>
        <row r="11">
          <cell r="I11" t="str">
            <v>Gastos Médicos</v>
          </cell>
        </row>
        <row r="12">
          <cell r="I12" t="str">
            <v>Compra de Vehículo</v>
          </cell>
        </row>
        <row r="13">
          <cell r="I13" t="str">
            <v>Remodelación y/o Mejoras a la Vivienda</v>
          </cell>
        </row>
        <row r="14">
          <cell r="I14" t="str">
            <v>Estudios</v>
          </cell>
        </row>
        <row r="15">
          <cell r="C15" t="str">
            <v>Elegir una opción</v>
          </cell>
          <cell r="D15" t="str">
            <v>Elegir una opción</v>
          </cell>
          <cell r="H15" t="str">
            <v>Elegir una opción</v>
          </cell>
        </row>
        <row r="16">
          <cell r="C16" t="str">
            <v>General de Seguros</v>
          </cell>
          <cell r="D16">
            <v>7.0000000000000007E-2</v>
          </cell>
          <cell r="H16" t="str">
            <v>C1</v>
          </cell>
        </row>
        <row r="17">
          <cell r="C17" t="str">
            <v>Otras Aseguradoras</v>
          </cell>
          <cell r="D17">
            <v>7.4999999999999997E-2</v>
          </cell>
          <cell r="H17" t="str">
            <v>C2</v>
          </cell>
        </row>
        <row r="18">
          <cell r="D18">
            <v>7.7499999999999999E-2</v>
          </cell>
          <cell r="H18" t="str">
            <v>C3</v>
          </cell>
        </row>
        <row r="19">
          <cell r="H19" t="str">
            <v>C4</v>
          </cell>
        </row>
        <row r="20">
          <cell r="G20" t="str">
            <v>Elegir</v>
          </cell>
          <cell r="H20" t="str">
            <v>C5</v>
          </cell>
        </row>
        <row r="21">
          <cell r="G21" t="str">
            <v>Abona</v>
          </cell>
        </row>
        <row r="22">
          <cell r="G22" t="str">
            <v>Cancela</v>
          </cell>
        </row>
        <row r="23">
          <cell r="C23" t="str">
            <v xml:space="preserve">No tiene referencias </v>
          </cell>
          <cell r="D23" t="str">
            <v>Elegir una opción</v>
          </cell>
          <cell r="G23" t="str">
            <v>No Cancela</v>
          </cell>
        </row>
        <row r="24">
          <cell r="C24" t="str">
            <v>Buenas</v>
          </cell>
          <cell r="D24" t="str">
            <v>Teléfono</v>
          </cell>
        </row>
        <row r="25">
          <cell r="C25" t="str">
            <v>Regulares</v>
          </cell>
          <cell r="D25" t="str">
            <v>Correo</v>
          </cell>
        </row>
        <row r="26">
          <cell r="C26" t="str">
            <v>Mayores</v>
          </cell>
          <cell r="D26" t="str">
            <v>Atención directa</v>
          </cell>
        </row>
        <row r="31">
          <cell r="D31" t="str">
            <v>Elegir una opción</v>
          </cell>
        </row>
        <row r="32">
          <cell r="D32" t="str">
            <v>Karen Reece</v>
          </cell>
        </row>
        <row r="33">
          <cell r="D33" t="str">
            <v>Leonides Gutiérrez</v>
          </cell>
        </row>
        <row r="34">
          <cell r="D34" t="str">
            <v>Cristian García</v>
          </cell>
        </row>
        <row r="35">
          <cell r="D35" t="str">
            <v>Xochil Ortega</v>
          </cell>
        </row>
        <row r="36">
          <cell r="D36" t="str">
            <v>Yahaira De La Cruz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"/>
      <sheetName val="Cotización"/>
      <sheetName val="Cotización-Análisis_personal"/>
      <sheetName val="PORTADA DE CARPETA"/>
      <sheetName val="Guía de uso "/>
      <sheetName val="Información_listas"/>
    </sheetNames>
    <sheetDataSet>
      <sheetData sheetId="0"/>
      <sheetData sheetId="1"/>
      <sheetData sheetId="2">
        <row r="12">
          <cell r="C12" t="e">
            <v>#REF!</v>
          </cell>
          <cell r="F12" t="e">
            <v>#REF!</v>
          </cell>
        </row>
        <row r="14">
          <cell r="K14" t="e">
            <v>#REF!</v>
          </cell>
        </row>
        <row r="23">
          <cell r="C23" t="e">
            <v>#REF!</v>
          </cell>
        </row>
        <row r="25">
          <cell r="C25" t="e">
            <v>#REF!</v>
          </cell>
        </row>
        <row r="58">
          <cell r="B58" t="str">
            <v>Remodelación y/o Mejoras a la Vivienda</v>
          </cell>
        </row>
      </sheetData>
      <sheetData sheetId="3"/>
      <sheetData sheetId="4"/>
      <sheetData sheetId="5">
        <row r="5">
          <cell r="E5" t="str">
            <v>Elegir una opción</v>
          </cell>
          <cell r="I5" t="str">
            <v>Elegir una opción</v>
          </cell>
        </row>
        <row r="6">
          <cell r="E6" t="str">
            <v>Nuevo</v>
          </cell>
          <cell r="I6" t="str">
            <v>Compra de Muebles y Enseres</v>
          </cell>
        </row>
        <row r="7">
          <cell r="E7" t="str">
            <v>Refinanciamiento</v>
          </cell>
          <cell r="I7" t="str">
            <v>Reparaciones</v>
          </cell>
        </row>
        <row r="8">
          <cell r="E8" t="str">
            <v>Traspaso</v>
          </cell>
          <cell r="I8" t="str">
            <v>Otros Fines de Consumo</v>
          </cell>
        </row>
        <row r="9">
          <cell r="I9" t="str">
            <v>Vacaciones y Entretenimiento</v>
          </cell>
        </row>
        <row r="10">
          <cell r="I10" t="str">
            <v>Consolidación de Deudas</v>
          </cell>
        </row>
        <row r="11">
          <cell r="I11" t="str">
            <v>Gastos Médicos</v>
          </cell>
        </row>
        <row r="12">
          <cell r="I12" t="str">
            <v>Compra de Vehículo</v>
          </cell>
        </row>
        <row r="13">
          <cell r="I13" t="str">
            <v>Remodelación y/o Mejoras a la Vivienda</v>
          </cell>
        </row>
        <row r="14">
          <cell r="I14" t="str">
            <v>Estudios</v>
          </cell>
        </row>
        <row r="17">
          <cell r="P17" t="str">
            <v>Nuevo</v>
          </cell>
        </row>
        <row r="18">
          <cell r="P18" t="str">
            <v>Refinanciamiento</v>
          </cell>
        </row>
        <row r="20">
          <cell r="G20" t="str">
            <v>Elegir</v>
          </cell>
        </row>
        <row r="21">
          <cell r="G21" t="str">
            <v>Abona</v>
          </cell>
        </row>
        <row r="22">
          <cell r="G22" t="str">
            <v>Cancela</v>
          </cell>
        </row>
        <row r="23">
          <cell r="G23" t="str">
            <v>No Cancela</v>
          </cell>
        </row>
        <row r="31">
          <cell r="D31" t="str">
            <v>Elegir una opción</v>
          </cell>
        </row>
        <row r="32">
          <cell r="D32" t="str">
            <v>Karen Reece</v>
          </cell>
        </row>
        <row r="33">
          <cell r="D33" t="str">
            <v>Leonides Gutiérrez</v>
          </cell>
        </row>
        <row r="34">
          <cell r="D34" t="str">
            <v>Cristian García</v>
          </cell>
        </row>
        <row r="35">
          <cell r="D35" t="str">
            <v>Xochil Ortega</v>
          </cell>
        </row>
        <row r="36">
          <cell r="D36" t="str">
            <v>Yahaira De La Cruz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Cotización-Análisis_personal"/>
      <sheetName val="Guía de uso"/>
      <sheetName val="Información_listas"/>
    </sheetNames>
    <sheetDataSet>
      <sheetData sheetId="0"/>
      <sheetData sheetId="1">
        <row r="24">
          <cell r="C24">
            <v>6500</v>
          </cell>
        </row>
      </sheetData>
      <sheetData sheetId="2"/>
      <sheetData sheetId="3">
        <row r="15">
          <cell r="D15" t="str">
            <v>Elegir una opción</v>
          </cell>
        </row>
        <row r="16">
          <cell r="D16" t="str">
            <v>_7%</v>
          </cell>
        </row>
        <row r="17">
          <cell r="D17">
            <v>7.4999999999999997E-2</v>
          </cell>
        </row>
        <row r="18">
          <cell r="D18">
            <v>7.7499999999999999E-2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91"/>
  <sheetViews>
    <sheetView showGridLines="0" tabSelected="1" showWhiteSpace="0" view="pageLayout" zoomScaleNormal="100" workbookViewId="0">
      <selection activeCell="E7" sqref="E7"/>
    </sheetView>
  </sheetViews>
  <sheetFormatPr baseColWidth="10" defaultColWidth="0" defaultRowHeight="15" customHeight="1" zeroHeight="1"/>
  <cols>
    <col min="1" max="1" width="3.140625" style="103" customWidth="1"/>
    <col min="2" max="2" width="9.42578125" style="103" customWidth="1"/>
    <col min="3" max="3" width="13.28515625" style="103" customWidth="1"/>
    <col min="4" max="4" width="18.7109375" style="103" customWidth="1"/>
    <col min="5" max="5" width="17.42578125" style="103" customWidth="1"/>
    <col min="6" max="6" width="13.140625" style="103" customWidth="1"/>
    <col min="7" max="7" width="3.7109375" style="103" customWidth="1"/>
    <col min="8" max="8" width="2" style="103" customWidth="1"/>
    <col min="9" max="14" width="0" style="22" hidden="1" customWidth="1"/>
    <col min="15" max="16384" width="11.42578125" style="22" hidden="1"/>
  </cols>
  <sheetData>
    <row r="1" spans="1:8" ht="14.25" customHeight="1">
      <c r="A1" s="246"/>
      <c r="B1" s="246"/>
      <c r="C1" s="246"/>
      <c r="D1" s="246"/>
      <c r="E1" s="246"/>
      <c r="F1" s="246"/>
      <c r="G1" s="246"/>
      <c r="H1" s="246"/>
    </row>
    <row r="2" spans="1:8" hidden="1">
      <c r="A2" s="246"/>
      <c r="B2" s="246"/>
      <c r="C2" s="246"/>
      <c r="D2" s="246"/>
      <c r="E2" s="246"/>
      <c r="F2" s="246"/>
      <c r="G2" s="246"/>
      <c r="H2" s="246"/>
    </row>
    <row r="3" spans="1:8" ht="19.5">
      <c r="A3" s="246"/>
      <c r="B3" s="246"/>
      <c r="C3" s="284" t="s">
        <v>244</v>
      </c>
      <c r="D3" s="284"/>
      <c r="E3" s="246"/>
      <c r="F3" s="246"/>
      <c r="G3" s="246"/>
      <c r="H3" s="247">
        <v>1</v>
      </c>
    </row>
    <row r="4" spans="1:8" ht="18.75" customHeight="1">
      <c r="A4" s="248"/>
      <c r="B4" s="249"/>
      <c r="C4" s="284" t="s">
        <v>269</v>
      </c>
      <c r="D4" s="284"/>
      <c r="E4" s="249"/>
      <c r="F4" s="249"/>
      <c r="G4" s="249"/>
      <c r="H4" s="247"/>
    </row>
    <row r="5" spans="1:8" ht="14.25" customHeight="1">
      <c r="A5" s="248"/>
      <c r="B5" s="249"/>
      <c r="C5" s="285" t="s">
        <v>245</v>
      </c>
      <c r="D5" s="284"/>
      <c r="E5" s="249"/>
      <c r="F5" s="249"/>
      <c r="G5" s="249"/>
      <c r="H5" s="247"/>
    </row>
    <row r="6" spans="1:8" ht="30" customHeight="1">
      <c r="A6" s="250"/>
      <c r="B6" s="251"/>
      <c r="C6" s="251"/>
      <c r="D6" s="251"/>
      <c r="E6" s="246"/>
      <c r="F6" s="246"/>
      <c r="G6" s="246"/>
      <c r="H6" s="247"/>
    </row>
    <row r="7" spans="1:8" ht="15.75">
      <c r="A7" s="252"/>
      <c r="B7" s="252"/>
      <c r="C7" s="253" t="s">
        <v>249</v>
      </c>
      <c r="D7" s="254"/>
      <c r="E7" s="273"/>
      <c r="F7" s="271" t="str">
        <f>IF(AND(Cargo&lt;15000,E10&lt;0.2),"Condición1","Condición2")</f>
        <v>Condición1</v>
      </c>
      <c r="G7" s="246"/>
      <c r="H7" s="247"/>
    </row>
    <row r="8" spans="1:8" ht="15.75">
      <c r="A8" s="252"/>
      <c r="B8" s="252"/>
      <c r="C8" s="253" t="s">
        <v>270</v>
      </c>
      <c r="D8" s="254"/>
      <c r="E8" s="273"/>
      <c r="F8" s="289" t="str">
        <f>IF(E8="","",IF(pabonominimo&gt;E8,"El abono inicial debe ser igual o mayor al 10% del valor del auto",""))</f>
        <v/>
      </c>
      <c r="G8" s="246"/>
      <c r="H8" s="247"/>
    </row>
    <row r="9" spans="1:8" ht="15.75">
      <c r="A9" s="252"/>
      <c r="B9" s="252"/>
      <c r="C9" s="253" t="s">
        <v>271</v>
      </c>
      <c r="D9" s="254"/>
      <c r="E9" s="270"/>
      <c r="F9" s="289"/>
      <c r="G9" s="246"/>
      <c r="H9" s="247"/>
    </row>
    <row r="10" spans="1:8" ht="15.75">
      <c r="A10" s="252"/>
      <c r="B10" s="252"/>
      <c r="C10" s="253" t="s">
        <v>253</v>
      </c>
      <c r="D10" s="254"/>
      <c r="E10" s="274">
        <f>IF(Cargo=0,0,IF(E8="",0,E8/Cargo))</f>
        <v>0</v>
      </c>
      <c r="F10" s="289"/>
      <c r="G10" s="246"/>
      <c r="H10" s="247"/>
    </row>
    <row r="11" spans="1:8" ht="18" customHeight="1">
      <c r="A11" s="252"/>
      <c r="B11" s="252"/>
      <c r="C11" s="255" t="s">
        <v>246</v>
      </c>
      <c r="D11" s="256"/>
      <c r="E11" s="275">
        <f>IF(E10&lt;0.1,0,Cargo-E8)</f>
        <v>0</v>
      </c>
      <c r="F11" s="289"/>
      <c r="G11" s="246"/>
      <c r="H11" s="247"/>
    </row>
    <row r="12" spans="1:8">
      <c r="A12" s="252"/>
      <c r="B12" s="252"/>
      <c r="C12" s="286" t="s">
        <v>250</v>
      </c>
      <c r="D12" s="287"/>
      <c r="E12" s="276">
        <f>Datos_lista!A44</f>
        <v>0</v>
      </c>
      <c r="F12" s="267"/>
      <c r="G12" s="246"/>
      <c r="H12" s="247"/>
    </row>
    <row r="13" spans="1:8" ht="15.75">
      <c r="A13" s="252"/>
      <c r="B13" s="252"/>
      <c r="C13" s="288" t="s">
        <v>101</v>
      </c>
      <c r="D13" s="288"/>
      <c r="E13" s="276">
        <f>IF(E8=0,0,1%)</f>
        <v>0</v>
      </c>
      <c r="F13" s="266"/>
      <c r="G13" s="246"/>
      <c r="H13" s="247"/>
    </row>
    <row r="14" spans="1:8" ht="0.75" customHeight="1">
      <c r="A14" s="252"/>
      <c r="B14" s="252"/>
      <c r="C14" s="250" t="s">
        <v>247</v>
      </c>
      <c r="D14" s="250"/>
      <c r="E14" s="272">
        <f>tasa1+E13</f>
        <v>0</v>
      </c>
      <c r="F14" s="257"/>
      <c r="G14" s="246"/>
      <c r="H14" s="247"/>
    </row>
    <row r="15" spans="1:8" ht="27" customHeight="1">
      <c r="A15" s="252"/>
      <c r="B15" s="252"/>
      <c r="C15" s="280" t="s">
        <v>272</v>
      </c>
      <c r="D15" s="281"/>
      <c r="E15" s="277">
        <f>IF(OR(E8=0,E9=0),0,IF(Cargo=0,0,IF(F8&lt;&gt;"",0,Cotización!E57)))</f>
        <v>0</v>
      </c>
      <c r="F15" s="258"/>
      <c r="G15" s="259"/>
      <c r="H15" s="247"/>
    </row>
    <row r="16" spans="1:8" ht="15.75" customHeight="1">
      <c r="A16" s="252"/>
      <c r="B16" s="252"/>
      <c r="C16" s="282" t="s">
        <v>248</v>
      </c>
      <c r="D16" s="282"/>
      <c r="E16" s="278">
        <f>IF(E15="","",E15*10/3.5)</f>
        <v>0</v>
      </c>
      <c r="F16" s="246"/>
      <c r="G16" s="246"/>
      <c r="H16" s="247"/>
    </row>
    <row r="17" spans="1:8" ht="18.75" customHeight="1">
      <c r="A17" s="246"/>
      <c r="B17" s="246"/>
      <c r="C17" s="246"/>
      <c r="D17" s="246"/>
      <c r="E17" s="246"/>
      <c r="F17" s="260"/>
      <c r="G17" s="246"/>
      <c r="H17" s="247"/>
    </row>
    <row r="18" spans="1:8" ht="15.75" hidden="1">
      <c r="A18" s="261"/>
      <c r="B18" s="246"/>
      <c r="C18" s="246"/>
      <c r="D18" s="262"/>
      <c r="E18" s="262"/>
      <c r="F18" s="246"/>
      <c r="G18" s="246"/>
      <c r="H18" s="246"/>
    </row>
    <row r="19" spans="1:8" ht="15.75" hidden="1">
      <c r="A19" s="261"/>
      <c r="B19" s="246"/>
      <c r="C19" s="246"/>
      <c r="D19" s="262"/>
      <c r="E19" s="262"/>
      <c r="F19" s="246"/>
      <c r="G19" s="246"/>
      <c r="H19" s="246"/>
    </row>
    <row r="20" spans="1:8" ht="15.75" hidden="1" customHeight="1">
      <c r="A20" s="250"/>
      <c r="B20" s="246"/>
      <c r="C20" s="246"/>
      <c r="D20" s="283"/>
      <c r="E20" s="283"/>
      <c r="F20" s="246"/>
      <c r="G20" s="246"/>
      <c r="H20" s="246"/>
    </row>
    <row r="21" spans="1:8" ht="15.75" hidden="1">
      <c r="A21" s="261"/>
      <c r="B21" s="246"/>
      <c r="C21" s="246"/>
      <c r="D21" s="262"/>
      <c r="E21" s="263"/>
      <c r="F21" s="246"/>
      <c r="G21" s="246"/>
      <c r="H21" s="246"/>
    </row>
    <row r="22" spans="1:8" ht="15.75" hidden="1">
      <c r="A22" s="261"/>
      <c r="B22" s="246"/>
      <c r="C22" s="246"/>
      <c r="D22" s="262"/>
      <c r="E22" s="263"/>
      <c r="F22" s="246"/>
      <c r="G22" s="246"/>
      <c r="H22" s="246"/>
    </row>
    <row r="23" spans="1:8" ht="15.75" hidden="1">
      <c r="A23" s="261"/>
      <c r="B23" s="246"/>
      <c r="C23" s="246"/>
      <c r="D23" s="262"/>
      <c r="E23" s="263"/>
      <c r="F23" s="246"/>
      <c r="G23" s="246"/>
      <c r="H23" s="246"/>
    </row>
    <row r="24" spans="1:8" ht="15.75" hidden="1">
      <c r="A24" s="261"/>
      <c r="B24" s="246"/>
      <c r="C24" s="246"/>
      <c r="D24" s="262"/>
      <c r="E24" s="263"/>
      <c r="F24" s="246"/>
      <c r="G24" s="246"/>
      <c r="H24" s="246"/>
    </row>
    <row r="25" spans="1:8" ht="15.75" hidden="1">
      <c r="A25" s="261"/>
      <c r="B25" s="246"/>
      <c r="C25" s="246"/>
      <c r="D25" s="262"/>
      <c r="E25" s="263"/>
      <c r="F25" s="246"/>
      <c r="G25" s="246"/>
      <c r="H25" s="246"/>
    </row>
    <row r="26" spans="1:8" ht="15.75" hidden="1">
      <c r="A26" s="261"/>
      <c r="B26" s="246"/>
      <c r="C26" s="246"/>
      <c r="D26" s="262"/>
      <c r="E26" s="263"/>
      <c r="F26" s="246"/>
      <c r="G26" s="246"/>
      <c r="H26" s="246"/>
    </row>
    <row r="27" spans="1:8" ht="15.75" hidden="1">
      <c r="A27" s="261"/>
      <c r="B27" s="246"/>
      <c r="C27" s="246"/>
      <c r="D27" s="262"/>
      <c r="E27" s="263"/>
      <c r="F27" s="246"/>
      <c r="G27" s="246"/>
      <c r="H27" s="264"/>
    </row>
    <row r="28" spans="1:8" s="30" customFormat="1" hidden="1">
      <c r="A28" s="264"/>
      <c r="B28" s="264"/>
      <c r="C28" s="264"/>
      <c r="D28" s="264"/>
      <c r="E28" s="264"/>
      <c r="F28" s="264"/>
      <c r="G28" s="264"/>
      <c r="H28" s="246"/>
    </row>
    <row r="29" spans="1:8" hidden="1">
      <c r="A29" s="246"/>
      <c r="B29" s="246"/>
      <c r="C29" s="246"/>
      <c r="D29" s="246"/>
      <c r="E29" s="246"/>
      <c r="F29" s="246"/>
      <c r="G29" s="246"/>
      <c r="H29" s="246"/>
    </row>
    <row r="30" spans="1:8" hidden="1">
      <c r="A30" s="246"/>
      <c r="B30" s="246"/>
      <c r="C30" s="246"/>
      <c r="D30" s="246"/>
      <c r="E30" s="246"/>
      <c r="F30" s="246"/>
      <c r="G30" s="246"/>
      <c r="H30" s="246"/>
    </row>
    <row r="31" spans="1:8" hidden="1">
      <c r="A31" s="246"/>
      <c r="B31" s="246"/>
      <c r="C31" s="246"/>
      <c r="D31" s="246"/>
      <c r="E31" s="246"/>
      <c r="F31" s="246"/>
      <c r="G31" s="246"/>
      <c r="H31" s="246"/>
    </row>
    <row r="32" spans="1:8" hidden="1">
      <c r="A32" s="246"/>
      <c r="B32" s="246"/>
      <c r="C32" s="246"/>
      <c r="D32" s="246"/>
      <c r="E32" s="246"/>
      <c r="F32" s="246"/>
      <c r="G32" s="246"/>
      <c r="H32" s="246"/>
    </row>
    <row r="33" spans="1:8" hidden="1">
      <c r="A33" s="246"/>
      <c r="B33" s="246"/>
      <c r="C33" s="246"/>
      <c r="D33" s="246"/>
      <c r="E33" s="246"/>
      <c r="F33" s="246"/>
      <c r="G33" s="246"/>
      <c r="H33" s="246"/>
    </row>
    <row r="34" spans="1:8" hidden="1">
      <c r="A34" s="246"/>
      <c r="B34" s="246"/>
      <c r="C34" s="246"/>
      <c r="D34" s="246"/>
      <c r="E34" s="246"/>
      <c r="F34" s="246"/>
      <c r="G34" s="246"/>
      <c r="H34" s="246"/>
    </row>
    <row r="35" spans="1:8" hidden="1">
      <c r="A35" s="246"/>
      <c r="B35" s="246"/>
      <c r="C35" s="246"/>
      <c r="D35" s="246"/>
      <c r="E35" s="246"/>
      <c r="F35" s="246"/>
      <c r="G35" s="246"/>
      <c r="H35" s="246"/>
    </row>
    <row r="36" spans="1:8" hidden="1">
      <c r="A36" s="246"/>
      <c r="B36" s="246"/>
      <c r="C36" s="246"/>
      <c r="D36" s="246"/>
      <c r="E36" s="246"/>
      <c r="F36" s="246"/>
      <c r="G36" s="246"/>
      <c r="H36" s="246"/>
    </row>
    <row r="37" spans="1:8" hidden="1">
      <c r="A37" s="246"/>
      <c r="B37" s="246"/>
      <c r="C37" s="246"/>
      <c r="D37" s="246"/>
      <c r="E37" s="246"/>
      <c r="F37" s="246"/>
      <c r="G37" s="246"/>
      <c r="H37" s="246"/>
    </row>
    <row r="38" spans="1:8" hidden="1">
      <c r="A38" s="246"/>
      <c r="B38" s="246"/>
      <c r="C38" s="246"/>
      <c r="D38" s="246"/>
      <c r="E38" s="246"/>
      <c r="F38" s="246"/>
      <c r="G38" s="246"/>
      <c r="H38" s="246"/>
    </row>
    <row r="39" spans="1:8" hidden="1">
      <c r="A39" s="246"/>
      <c r="B39" s="246"/>
      <c r="C39" s="246"/>
      <c r="D39" s="246"/>
      <c r="E39" s="246"/>
      <c r="F39" s="246"/>
      <c r="G39" s="246"/>
      <c r="H39" s="246"/>
    </row>
    <row r="40" spans="1:8" hidden="1">
      <c r="A40" s="246"/>
      <c r="B40" s="246"/>
      <c r="C40" s="246"/>
      <c r="D40" s="246"/>
      <c r="E40" s="246"/>
      <c r="F40" s="246"/>
      <c r="G40" s="246"/>
      <c r="H40" s="246"/>
    </row>
    <row r="41" spans="1:8" hidden="1">
      <c r="A41" s="246"/>
      <c r="B41" s="246"/>
      <c r="C41" s="246"/>
      <c r="D41" s="246"/>
      <c r="E41" s="246"/>
      <c r="F41" s="246"/>
      <c r="G41" s="246"/>
      <c r="H41" s="246"/>
    </row>
    <row r="42" spans="1:8" hidden="1">
      <c r="A42" s="246"/>
      <c r="B42" s="246"/>
      <c r="C42" s="246"/>
      <c r="D42" s="246"/>
      <c r="E42" s="246"/>
      <c r="F42" s="246"/>
      <c r="G42" s="246"/>
      <c r="H42" s="246"/>
    </row>
    <row r="43" spans="1:8" hidden="1">
      <c r="A43" s="246"/>
      <c r="B43" s="246"/>
      <c r="C43" s="246"/>
      <c r="D43" s="246"/>
      <c r="E43" s="246"/>
      <c r="F43" s="246"/>
      <c r="G43" s="246"/>
      <c r="H43" s="246"/>
    </row>
    <row r="44" spans="1:8" hidden="1">
      <c r="A44" s="246"/>
      <c r="B44" s="246"/>
      <c r="C44" s="246"/>
      <c r="D44" s="246"/>
      <c r="E44" s="246"/>
      <c r="F44" s="246"/>
      <c r="G44" s="246"/>
      <c r="H44" s="246"/>
    </row>
    <row r="45" spans="1:8" hidden="1">
      <c r="A45" s="246"/>
      <c r="B45" s="246"/>
      <c r="C45" s="246"/>
      <c r="D45" s="246"/>
      <c r="E45" s="246"/>
      <c r="F45" s="246"/>
      <c r="G45" s="246"/>
      <c r="H45" s="246"/>
    </row>
    <row r="46" spans="1:8" hidden="1">
      <c r="A46" s="246"/>
      <c r="B46" s="246"/>
      <c r="C46" s="246"/>
      <c r="D46" s="246"/>
      <c r="E46" s="246"/>
      <c r="F46" s="246"/>
      <c r="G46" s="246"/>
      <c r="H46" s="246"/>
    </row>
    <row r="47" spans="1:8" hidden="1">
      <c r="A47" s="246"/>
      <c r="B47" s="246"/>
      <c r="C47" s="246"/>
      <c r="D47" s="246"/>
      <c r="E47" s="246"/>
      <c r="F47" s="246"/>
      <c r="G47" s="246"/>
      <c r="H47" s="246"/>
    </row>
    <row r="48" spans="1:8" hidden="1">
      <c r="A48" s="246"/>
      <c r="B48" s="246"/>
      <c r="C48" s="246"/>
      <c r="D48" s="246"/>
      <c r="E48" s="246"/>
      <c r="F48" s="246"/>
      <c r="G48" s="246"/>
      <c r="H48" s="246"/>
    </row>
    <row r="49" spans="1:8" hidden="1">
      <c r="A49" s="246"/>
      <c r="B49" s="246"/>
      <c r="C49" s="246"/>
      <c r="D49" s="246"/>
      <c r="E49" s="246"/>
      <c r="F49" s="246"/>
      <c r="G49" s="246"/>
      <c r="H49" s="246"/>
    </row>
    <row r="50" spans="1:8" hidden="1">
      <c r="A50" s="246"/>
      <c r="B50" s="246"/>
      <c r="C50" s="246"/>
      <c r="D50" s="246"/>
      <c r="E50" s="246"/>
      <c r="F50" s="246"/>
      <c r="G50" s="246"/>
      <c r="H50" s="246"/>
    </row>
    <row r="51" spans="1:8" hidden="1">
      <c r="A51" s="246"/>
      <c r="B51" s="246"/>
      <c r="C51" s="246"/>
      <c r="D51" s="246"/>
      <c r="E51" s="246"/>
      <c r="F51" s="246"/>
      <c r="G51" s="246"/>
      <c r="H51" s="246"/>
    </row>
    <row r="52" spans="1:8" hidden="1">
      <c r="A52" s="246"/>
      <c r="B52" s="246"/>
      <c r="C52" s="246"/>
      <c r="D52" s="246"/>
      <c r="E52" s="246"/>
      <c r="F52" s="246"/>
      <c r="G52" s="246"/>
      <c r="H52" s="246"/>
    </row>
    <row r="53" spans="1:8" hidden="1">
      <c r="A53" s="246"/>
      <c r="B53" s="246"/>
      <c r="C53" s="246"/>
      <c r="D53" s="246"/>
      <c r="E53" s="246"/>
      <c r="F53" s="246"/>
      <c r="G53" s="246"/>
      <c r="H53" s="246"/>
    </row>
    <row r="54" spans="1:8" hidden="1">
      <c r="A54" s="246"/>
      <c r="B54" s="246"/>
      <c r="C54" s="246"/>
      <c r="D54" s="246"/>
      <c r="E54" s="246"/>
      <c r="F54" s="246"/>
      <c r="G54" s="246"/>
      <c r="H54" s="246"/>
    </row>
    <row r="55" spans="1:8" hidden="1">
      <c r="A55" s="246"/>
      <c r="B55" s="246"/>
      <c r="C55" s="246"/>
      <c r="D55" s="246"/>
      <c r="E55" s="246"/>
      <c r="F55" s="246"/>
      <c r="G55" s="246"/>
      <c r="H55" s="246"/>
    </row>
    <row r="56" spans="1:8" hidden="1">
      <c r="A56" s="246"/>
      <c r="B56" s="246"/>
      <c r="C56" s="246"/>
      <c r="D56" s="246"/>
      <c r="E56" s="246"/>
      <c r="F56" s="246"/>
      <c r="G56" s="246"/>
      <c r="H56" s="246"/>
    </row>
    <row r="57" spans="1:8" hidden="1">
      <c r="A57" s="246"/>
      <c r="B57" s="246"/>
      <c r="C57" s="246"/>
      <c r="D57" s="246"/>
      <c r="E57" s="246"/>
      <c r="F57" s="246"/>
      <c r="G57" s="246"/>
      <c r="H57" s="246"/>
    </row>
    <row r="58" spans="1:8" hidden="1">
      <c r="A58" s="246"/>
      <c r="B58" s="246"/>
      <c r="C58" s="246"/>
      <c r="D58" s="246"/>
      <c r="E58" s="246"/>
      <c r="F58" s="246"/>
      <c r="G58" s="246"/>
      <c r="H58" s="246"/>
    </row>
    <row r="59" spans="1:8" hidden="1">
      <c r="A59" s="246"/>
      <c r="B59" s="246"/>
      <c r="C59" s="246"/>
      <c r="D59" s="246"/>
      <c r="E59" s="246"/>
      <c r="F59" s="246"/>
      <c r="G59" s="246"/>
      <c r="H59" s="246"/>
    </row>
    <row r="60" spans="1:8" hidden="1">
      <c r="A60" s="246"/>
      <c r="B60" s="246"/>
      <c r="C60" s="246"/>
      <c r="D60" s="246"/>
      <c r="E60" s="246"/>
      <c r="F60" s="246"/>
      <c r="G60" s="246"/>
      <c r="H60" s="246"/>
    </row>
    <row r="61" spans="1:8" hidden="1">
      <c r="A61" s="246"/>
      <c r="B61" s="246"/>
      <c r="C61" s="246"/>
      <c r="D61" s="246"/>
      <c r="E61" s="246"/>
      <c r="F61" s="246"/>
      <c r="G61" s="246"/>
      <c r="H61" s="246"/>
    </row>
    <row r="62" spans="1:8" hidden="1">
      <c r="A62" s="246"/>
      <c r="B62" s="246"/>
      <c r="C62" s="246"/>
      <c r="D62" s="246"/>
      <c r="E62" s="246"/>
      <c r="F62" s="246"/>
      <c r="G62" s="246"/>
      <c r="H62" s="246"/>
    </row>
    <row r="63" spans="1:8" hidden="1">
      <c r="A63" s="246"/>
      <c r="B63" s="246"/>
      <c r="C63" s="246"/>
      <c r="D63" s="246"/>
      <c r="E63" s="246"/>
      <c r="F63" s="246"/>
      <c r="G63" s="246"/>
      <c r="H63" s="246"/>
    </row>
    <row r="64" spans="1:8" hidden="1">
      <c r="A64" s="246"/>
      <c r="B64" s="246"/>
      <c r="C64" s="246"/>
      <c r="D64" s="246"/>
      <c r="E64" s="246"/>
      <c r="F64" s="246"/>
      <c r="G64" s="246"/>
      <c r="H64" s="246"/>
    </row>
    <row r="65" spans="1:8" hidden="1">
      <c r="A65" s="246"/>
      <c r="B65" s="246"/>
      <c r="C65" s="246"/>
      <c r="D65" s="246"/>
      <c r="E65" s="246"/>
      <c r="F65" s="246"/>
      <c r="G65" s="246"/>
      <c r="H65" s="246"/>
    </row>
    <row r="66" spans="1:8" hidden="1">
      <c r="A66" s="246"/>
      <c r="B66" s="246"/>
      <c r="C66" s="246"/>
      <c r="D66" s="246"/>
      <c r="E66" s="246"/>
      <c r="F66" s="246"/>
      <c r="G66" s="246"/>
      <c r="H66" s="246"/>
    </row>
    <row r="67" spans="1:8" hidden="1">
      <c r="A67" s="246"/>
      <c r="B67" s="246"/>
      <c r="C67" s="246"/>
      <c r="D67" s="246"/>
      <c r="E67" s="246"/>
      <c r="F67" s="246"/>
      <c r="G67" s="246"/>
      <c r="H67" s="246"/>
    </row>
    <row r="68" spans="1:8" hidden="1">
      <c r="A68" s="246"/>
      <c r="B68" s="246"/>
      <c r="C68" s="246"/>
      <c r="D68" s="246"/>
      <c r="E68" s="246"/>
      <c r="F68" s="246"/>
      <c r="G68" s="246"/>
      <c r="H68" s="246"/>
    </row>
    <row r="69" spans="1:8" hidden="1">
      <c r="A69" s="246"/>
      <c r="B69" s="246"/>
      <c r="C69" s="246"/>
      <c r="D69" s="246"/>
      <c r="E69" s="246"/>
      <c r="F69" s="246"/>
      <c r="G69" s="246"/>
      <c r="H69" s="246"/>
    </row>
    <row r="70" spans="1:8" hidden="1">
      <c r="A70" s="246"/>
      <c r="B70" s="246"/>
      <c r="C70" s="246"/>
      <c r="D70" s="246"/>
      <c r="E70" s="246"/>
      <c r="F70" s="246"/>
      <c r="G70" s="246"/>
      <c r="H70" s="246"/>
    </row>
    <row r="71" spans="1:8" hidden="1">
      <c r="A71" s="246"/>
      <c r="B71" s="246"/>
      <c r="C71" s="246"/>
      <c r="D71" s="246"/>
      <c r="E71" s="246"/>
      <c r="F71" s="246"/>
      <c r="G71" s="246"/>
      <c r="H71" s="246"/>
    </row>
    <row r="72" spans="1:8" hidden="1">
      <c r="A72" s="246"/>
      <c r="B72" s="246"/>
      <c r="C72" s="246"/>
      <c r="D72" s="246"/>
      <c r="E72" s="246"/>
      <c r="F72" s="246"/>
      <c r="G72" s="246"/>
      <c r="H72" s="246"/>
    </row>
    <row r="73" spans="1:8" hidden="1">
      <c r="A73" s="246"/>
      <c r="B73" s="246"/>
      <c r="C73" s="246"/>
      <c r="D73" s="246"/>
      <c r="E73" s="246"/>
      <c r="F73" s="246"/>
      <c r="G73" s="246"/>
      <c r="H73" s="246"/>
    </row>
    <row r="74" spans="1:8" hidden="1">
      <c r="A74" s="246"/>
      <c r="B74" s="246"/>
      <c r="C74" s="246"/>
      <c r="D74" s="246"/>
      <c r="E74" s="246"/>
      <c r="F74" s="246"/>
      <c r="G74" s="246"/>
      <c r="H74" s="246"/>
    </row>
    <row r="75" spans="1:8" hidden="1">
      <c r="A75" s="246"/>
      <c r="B75" s="246"/>
      <c r="C75" s="246"/>
      <c r="D75" s="246"/>
      <c r="E75" s="246"/>
      <c r="F75" s="246"/>
      <c r="G75" s="246"/>
      <c r="H75" s="246"/>
    </row>
    <row r="76" spans="1:8" ht="12" customHeight="1">
      <c r="A76" s="248"/>
      <c r="B76" s="246"/>
      <c r="C76" s="246"/>
      <c r="D76" s="246"/>
      <c r="E76" s="246"/>
      <c r="F76" s="260"/>
      <c r="G76" s="246"/>
      <c r="H76" s="246"/>
    </row>
    <row r="77" spans="1:8" ht="149.25" customHeight="1">
      <c r="A77" s="248"/>
      <c r="B77" s="290" t="s">
        <v>273</v>
      </c>
      <c r="C77" s="291"/>
      <c r="D77" s="291"/>
      <c r="E77" s="291"/>
      <c r="F77" s="291"/>
      <c r="G77" s="246"/>
      <c r="H77" s="246"/>
    </row>
    <row r="78" spans="1:8" ht="36.75" hidden="1" customHeight="1">
      <c r="A78" s="248"/>
      <c r="B78" s="290"/>
      <c r="C78" s="290"/>
      <c r="D78" s="290"/>
      <c r="E78" s="290"/>
      <c r="F78" s="290"/>
      <c r="G78" s="246"/>
      <c r="H78" s="246"/>
    </row>
    <row r="79" spans="1:8" ht="25.5" hidden="1" customHeight="1">
      <c r="A79" s="248"/>
      <c r="B79" s="290"/>
      <c r="C79" s="290"/>
      <c r="D79" s="290"/>
      <c r="E79" s="290"/>
      <c r="F79" s="290"/>
      <c r="G79" s="246"/>
      <c r="H79" s="246"/>
    </row>
    <row r="80" spans="1:8" ht="10.5" customHeight="1">
      <c r="A80" s="248"/>
      <c r="B80" s="290"/>
      <c r="C80" s="290"/>
      <c r="D80" s="290"/>
      <c r="E80" s="290"/>
      <c r="F80" s="290"/>
      <c r="G80" s="246"/>
      <c r="H80" s="246"/>
    </row>
    <row r="81" spans="1:8" ht="12" customHeight="1">
      <c r="A81" s="248"/>
      <c r="B81" s="246"/>
      <c r="C81" s="246"/>
      <c r="D81" s="246"/>
      <c r="E81" s="246"/>
      <c r="F81" s="260"/>
      <c r="G81" s="246"/>
      <c r="H81" s="246"/>
    </row>
    <row r="82" spans="1:8" ht="12" hidden="1" customHeight="1">
      <c r="A82" s="248"/>
      <c r="B82" s="246"/>
      <c r="C82" s="246"/>
      <c r="D82" s="246"/>
      <c r="E82" s="246"/>
      <c r="F82" s="260"/>
      <c r="G82" s="246"/>
      <c r="H82" s="246"/>
    </row>
    <row r="83" spans="1:8" ht="15" hidden="1" customHeight="1">
      <c r="A83" s="265"/>
      <c r="B83" s="279" t="s">
        <v>254</v>
      </c>
      <c r="C83" s="279"/>
      <c r="D83" s="279"/>
      <c r="E83" s="279"/>
      <c r="F83" s="279"/>
      <c r="G83" s="265"/>
      <c r="H83" s="246"/>
    </row>
    <row r="84" spans="1:8" ht="17.25" hidden="1" customHeight="1">
      <c r="A84" s="246"/>
      <c r="B84" s="246"/>
      <c r="C84" s="246"/>
      <c r="D84" s="246"/>
      <c r="E84" s="246"/>
      <c r="F84" s="246"/>
      <c r="G84" s="246"/>
      <c r="H84" s="246"/>
    </row>
    <row r="85" spans="1:8" hidden="1">
      <c r="A85" s="248"/>
      <c r="B85" s="248"/>
      <c r="C85" s="248"/>
      <c r="D85" s="248"/>
      <c r="E85" s="248"/>
      <c r="F85" s="248"/>
      <c r="G85" s="248"/>
      <c r="H85" s="248"/>
    </row>
    <row r="86" spans="1:8" hidden="1">
      <c r="A86" s="248"/>
      <c r="B86" s="248"/>
      <c r="C86" s="248"/>
      <c r="D86" s="248"/>
      <c r="E86" s="248"/>
      <c r="F86" s="248"/>
      <c r="G86" s="248"/>
      <c r="H86" s="248"/>
    </row>
    <row r="87" spans="1:8" hidden="1">
      <c r="A87" s="248"/>
      <c r="B87" s="248"/>
      <c r="C87" s="248"/>
      <c r="D87" s="248"/>
      <c r="E87" s="248"/>
      <c r="F87" s="248"/>
      <c r="G87" s="248"/>
      <c r="H87" s="248"/>
    </row>
    <row r="88" spans="1:8" hidden="1">
      <c r="A88" s="248"/>
      <c r="B88" s="248"/>
      <c r="C88" s="248"/>
      <c r="D88" s="248"/>
      <c r="E88" s="248"/>
      <c r="F88" s="248"/>
      <c r="G88" s="248"/>
      <c r="H88" s="248"/>
    </row>
    <row r="89" spans="1:8" hidden="1">
      <c r="A89" s="248"/>
      <c r="B89" s="248"/>
      <c r="C89" s="248"/>
      <c r="D89" s="248"/>
      <c r="E89" s="248"/>
      <c r="F89" s="248"/>
      <c r="G89" s="248"/>
      <c r="H89" s="248"/>
    </row>
    <row r="90" spans="1:8" ht="15" hidden="1" customHeight="1"/>
    <row r="91" spans="1:8" ht="15" hidden="1" customHeight="1"/>
  </sheetData>
  <sheetProtection algorithmName="SHA-512" hashValue="oyKnFbA/6FQdmomrbPsjMZiCTq+NFdB5bclf2eMBxo6s/SqoP4rZAwf4wXjpvWtfyCa4Z6oaubiOZIUYu4LyjQ==" saltValue="aGl9sVcOQc2iE2bgcrGyJw==" spinCount="100000" sheet="1" objects="1" scenarios="1" selectLockedCells="1"/>
  <mergeCells count="14">
    <mergeCell ref="B83:F83"/>
    <mergeCell ref="C15:D15"/>
    <mergeCell ref="C16:D16"/>
    <mergeCell ref="D20:E20"/>
    <mergeCell ref="C3:D3"/>
    <mergeCell ref="C4:D4"/>
    <mergeCell ref="C5:D5"/>
    <mergeCell ref="C12:D12"/>
    <mergeCell ref="C13:D13"/>
    <mergeCell ref="F8:F11"/>
    <mergeCell ref="B77:F77"/>
    <mergeCell ref="B78:F78"/>
    <mergeCell ref="B79:F79"/>
    <mergeCell ref="B80:F80"/>
  </mergeCells>
  <dataValidations count="1">
    <dataValidation type="list" allowBlank="1" showInputMessage="1" showErrorMessage="1" sqref="E9">
      <formula1>INDIRECT($F$7)</formula1>
    </dataValidation>
  </dataValidations>
  <pageMargins left="0.40157480314960631" right="0.40157480314960631" top="0.35433070866141736" bottom="0.35433070866141736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4:O73"/>
  <sheetViews>
    <sheetView showGridLines="0" showWhiteSpace="0" view="pageLayout" topLeftCell="A34" zoomScale="80" zoomScaleNormal="100" zoomScalePageLayoutView="80" workbookViewId="0">
      <selection activeCell="E38" sqref="E38:F38"/>
    </sheetView>
  </sheetViews>
  <sheetFormatPr baseColWidth="10" defaultRowHeight="15" outlineLevelCol="1"/>
  <cols>
    <col min="1" max="1" width="11.5703125" style="22" customWidth="1"/>
    <col min="2" max="2" width="15.28515625" style="22" customWidth="1"/>
    <col min="3" max="3" width="12.42578125" style="22" customWidth="1"/>
    <col min="4" max="4" width="13.28515625" style="22" customWidth="1"/>
    <col min="5" max="5" width="11.42578125" style="22"/>
    <col min="6" max="6" width="10.28515625" style="22" customWidth="1"/>
    <col min="7" max="7" width="6.7109375" style="22" customWidth="1"/>
    <col min="8" max="8" width="7.140625" style="22" customWidth="1"/>
    <col min="9" max="9" width="13" style="22" customWidth="1"/>
    <col min="10" max="10" width="11" style="22" customWidth="1"/>
    <col min="11" max="11" width="10.85546875" style="22" customWidth="1"/>
    <col min="12" max="13" width="10" style="22" customWidth="1"/>
    <col min="14" max="14" width="7.7109375" style="22" hidden="1" customWidth="1" outlineLevel="1"/>
    <col min="15" max="15" width="6.7109375" style="22" customWidth="1" collapsed="1"/>
    <col min="16" max="16" width="3.42578125" style="22" customWidth="1"/>
    <col min="17" max="16384" width="11.42578125" style="22"/>
  </cols>
  <sheetData>
    <row r="4" spans="1:15" ht="19.5">
      <c r="A4" s="324" t="s">
        <v>132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</row>
    <row r="5" spans="1:15" ht="19.5">
      <c r="A5" s="324" t="s">
        <v>88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</row>
    <row r="8" spans="1:15" ht="15.75">
      <c r="A8" s="299" t="s">
        <v>89</v>
      </c>
      <c r="B8" s="299"/>
      <c r="C8" s="306"/>
      <c r="D8" s="315"/>
      <c r="E8" s="315"/>
      <c r="F8" s="307"/>
      <c r="I8" s="322" t="s">
        <v>90</v>
      </c>
      <c r="J8" s="323"/>
      <c r="K8" s="318"/>
      <c r="L8" s="319"/>
      <c r="M8" s="73"/>
    </row>
    <row r="9" spans="1:15" ht="10.5" customHeight="1" thickBot="1">
      <c r="A9" s="78"/>
      <c r="B9" s="78"/>
      <c r="C9" s="61"/>
      <c r="D9" s="33"/>
      <c r="E9" s="33"/>
      <c r="F9" s="33"/>
      <c r="H9" s="78"/>
      <c r="I9" s="78"/>
      <c r="J9" s="78"/>
    </row>
    <row r="10" spans="1:15" ht="15.75">
      <c r="A10" s="299" t="s">
        <v>91</v>
      </c>
      <c r="B10" s="299"/>
      <c r="C10" s="306"/>
      <c r="D10" s="307"/>
      <c r="E10" s="62"/>
      <c r="I10" s="299" t="s">
        <v>179</v>
      </c>
      <c r="J10" s="312"/>
      <c r="K10" s="301" t="s">
        <v>78</v>
      </c>
      <c r="L10" s="302"/>
      <c r="M10" s="63"/>
    </row>
    <row r="11" spans="1:15" ht="10.5" customHeight="1" thickBot="1">
      <c r="A11" s="78"/>
      <c r="B11" s="78"/>
      <c r="C11" s="33"/>
      <c r="D11" s="33"/>
      <c r="E11" s="33"/>
    </row>
    <row r="12" spans="1:15" ht="15.75">
      <c r="A12" s="299" t="s">
        <v>92</v>
      </c>
      <c r="B12" s="299"/>
      <c r="C12" s="318"/>
      <c r="D12" s="319"/>
      <c r="I12" s="299" t="s">
        <v>93</v>
      </c>
      <c r="J12" s="312"/>
      <c r="K12" s="320" t="s">
        <v>83</v>
      </c>
      <c r="L12" s="321"/>
      <c r="M12" s="72"/>
      <c r="N12" s="80">
        <f>IF(pago_elige="Descuento directo", 1, IF(pago_elige="Cargo a cuenta", 2, IF(pago_elige="Pago voluntario", 3, 0)))</f>
        <v>2</v>
      </c>
    </row>
    <row r="13" spans="1:15" ht="10.5" customHeight="1" thickBot="1">
      <c r="A13" s="78"/>
      <c r="B13" s="78"/>
    </row>
    <row r="14" spans="1:15" ht="15.75">
      <c r="A14" s="299" t="s">
        <v>94</v>
      </c>
      <c r="B14" s="299"/>
      <c r="C14" s="310">
        <f ca="1">YEAR(TODAY())-YEAR(C12)</f>
        <v>119</v>
      </c>
      <c r="D14" s="311"/>
      <c r="I14" s="299" t="s">
        <v>95</v>
      </c>
      <c r="J14" s="312"/>
      <c r="K14" s="313" t="s">
        <v>77</v>
      </c>
      <c r="L14" s="314"/>
      <c r="M14" s="72"/>
      <c r="N14" s="80">
        <f>IF(seguro_selec="Otras Aseg.", 2, IF(seguro_selec="Elegir", 0, 1))</f>
        <v>0</v>
      </c>
    </row>
    <row r="15" spans="1:15" ht="10.5" customHeight="1">
      <c r="A15" s="78"/>
      <c r="B15" s="78"/>
    </row>
    <row r="16" spans="1:15" ht="15.75">
      <c r="A16" s="299" t="s">
        <v>96</v>
      </c>
      <c r="B16" s="303"/>
      <c r="C16" s="306"/>
      <c r="D16" s="315"/>
      <c r="E16" s="315"/>
      <c r="F16" s="307"/>
      <c r="I16" s="299" t="s">
        <v>126</v>
      </c>
      <c r="J16" s="303"/>
      <c r="K16" s="316"/>
      <c r="L16" s="317"/>
      <c r="M16" s="74"/>
    </row>
    <row r="17" spans="1:14" ht="10.5" customHeight="1" thickBot="1">
      <c r="A17" s="78"/>
      <c r="B17" s="78"/>
    </row>
    <row r="18" spans="1:14" ht="15.75">
      <c r="A18" s="299" t="s">
        <v>97</v>
      </c>
      <c r="B18" s="299"/>
      <c r="C18" s="301"/>
      <c r="D18" s="302"/>
      <c r="E18" s="63" t="s">
        <v>202</v>
      </c>
      <c r="F18" s="181"/>
      <c r="I18" s="299" t="s">
        <v>125</v>
      </c>
      <c r="J18" s="303"/>
      <c r="K18" s="304">
        <v>10000</v>
      </c>
      <c r="L18" s="305"/>
      <c r="M18" s="75"/>
    </row>
    <row r="19" spans="1:14" ht="10.5" customHeight="1"/>
    <row r="20" spans="1:14" ht="15.75">
      <c r="A20" s="299" t="s">
        <v>98</v>
      </c>
      <c r="B20" s="299"/>
      <c r="C20" s="306"/>
      <c r="D20" s="307"/>
      <c r="I20" s="299" t="s">
        <v>124</v>
      </c>
      <c r="J20" s="303"/>
      <c r="K20" s="308" t="e">
        <f>E58/K18</f>
        <v>#NUM!</v>
      </c>
      <c r="L20" s="309"/>
      <c r="M20" s="74"/>
    </row>
    <row r="21" spans="1:14" ht="10.5" customHeight="1">
      <c r="C21" s="30"/>
      <c r="D21" s="30"/>
    </row>
    <row r="22" spans="1:14" ht="15.75" customHeight="1">
      <c r="A22" s="299" t="s">
        <v>119</v>
      </c>
      <c r="B22" s="299"/>
      <c r="C22" s="306"/>
      <c r="D22" s="307"/>
      <c r="I22" s="299" t="s">
        <v>123</v>
      </c>
      <c r="J22" s="303"/>
      <c r="K22" s="336">
        <f>calculadora!E7</f>
        <v>0</v>
      </c>
      <c r="L22" s="337"/>
      <c r="M22" s="70"/>
    </row>
    <row r="23" spans="1:14" ht="9.75" customHeight="1" thickBot="1">
      <c r="A23" s="78"/>
      <c r="B23" s="78"/>
      <c r="C23" s="30"/>
      <c r="D23" s="30"/>
      <c r="I23" s="78"/>
      <c r="J23" s="69"/>
      <c r="K23" s="70"/>
      <c r="L23" s="70"/>
      <c r="M23" s="70"/>
    </row>
    <row r="24" spans="1:14" ht="15.75" customHeight="1">
      <c r="A24" s="299" t="s">
        <v>120</v>
      </c>
      <c r="B24" s="299"/>
      <c r="C24" s="306"/>
      <c r="D24" s="315"/>
      <c r="E24" s="315"/>
      <c r="F24" s="307"/>
      <c r="I24" s="299" t="s">
        <v>122</v>
      </c>
      <c r="J24" s="312"/>
      <c r="K24" s="313" t="s">
        <v>77</v>
      </c>
      <c r="L24" s="314"/>
      <c r="M24" s="72"/>
      <c r="N24" s="86">
        <f>IF(póliza="Otras Aseg.", 2, IF(póliza="Elegir", 0, 1))</f>
        <v>0</v>
      </c>
    </row>
    <row r="25" spans="1:14" ht="9" customHeight="1" thickBot="1">
      <c r="A25" s="78"/>
      <c r="B25" s="78"/>
      <c r="C25" s="72"/>
      <c r="D25" s="72"/>
      <c r="E25" s="72"/>
      <c r="F25" s="72"/>
      <c r="I25" s="78"/>
      <c r="J25" s="69"/>
      <c r="K25" s="72"/>
      <c r="L25" s="72"/>
      <c r="M25" s="72"/>
    </row>
    <row r="26" spans="1:14" ht="15.75" customHeight="1">
      <c r="A26" s="299" t="s">
        <v>127</v>
      </c>
      <c r="B26" s="299"/>
      <c r="C26" s="301"/>
      <c r="D26" s="302"/>
      <c r="E26" s="72"/>
      <c r="F26" s="72"/>
      <c r="I26" s="299" t="s">
        <v>121</v>
      </c>
      <c r="J26" s="299"/>
      <c r="K26" s="306"/>
      <c r="L26" s="315"/>
      <c r="M26" s="307"/>
      <c r="N26" s="76"/>
    </row>
    <row r="27" spans="1:14" ht="9.75" customHeight="1" thickBot="1">
      <c r="A27" s="78"/>
      <c r="B27" s="78"/>
      <c r="C27" s="63"/>
      <c r="D27" s="63"/>
      <c r="E27" s="72"/>
      <c r="F27" s="72"/>
      <c r="I27" s="78"/>
      <c r="J27" s="78"/>
      <c r="K27" s="72"/>
      <c r="L27" s="72"/>
      <c r="M27" s="72"/>
      <c r="N27" s="72"/>
    </row>
    <row r="28" spans="1:14" ht="15.75" customHeight="1">
      <c r="A28" s="299" t="s">
        <v>23</v>
      </c>
      <c r="B28" s="299"/>
      <c r="C28" s="306"/>
      <c r="D28" s="315"/>
      <c r="E28" s="315"/>
      <c r="F28" s="307"/>
      <c r="I28" s="299" t="s">
        <v>128</v>
      </c>
      <c r="J28" s="299"/>
      <c r="K28" s="299"/>
      <c r="L28" s="299"/>
      <c r="M28" s="84" t="s">
        <v>77</v>
      </c>
      <c r="N28" s="77"/>
    </row>
    <row r="29" spans="1:14" ht="18" customHeight="1">
      <c r="C29" s="30"/>
      <c r="D29" s="30"/>
      <c r="I29" s="78"/>
      <c r="J29" s="69"/>
      <c r="K29" s="70"/>
      <c r="L29" s="70"/>
      <c r="M29" s="70"/>
    </row>
    <row r="30" spans="1:14" ht="17.25" customHeight="1">
      <c r="A30" s="299" t="s">
        <v>117</v>
      </c>
      <c r="B30" s="299"/>
      <c r="C30" s="30"/>
      <c r="D30" s="30"/>
      <c r="E30" s="297">
        <f>valor_auto/1.07</f>
        <v>0</v>
      </c>
      <c r="F30" s="297"/>
    </row>
    <row r="31" spans="1:14" ht="17.25" customHeight="1">
      <c r="A31" s="299" t="s">
        <v>19</v>
      </c>
      <c r="B31" s="299"/>
      <c r="C31" s="30"/>
      <c r="D31" s="30"/>
      <c r="E31" s="297">
        <f>E30*0.07</f>
        <v>0</v>
      </c>
      <c r="F31" s="297"/>
    </row>
    <row r="32" spans="1:14" ht="17.25" customHeight="1">
      <c r="A32" s="325" t="s">
        <v>20</v>
      </c>
      <c r="B32" s="325"/>
      <c r="C32" s="30"/>
      <c r="D32" s="30"/>
      <c r="E32" s="297">
        <f>E30+E31</f>
        <v>0</v>
      </c>
      <c r="F32" s="297"/>
    </row>
    <row r="33" spans="1:11" ht="11.25" customHeight="1" thickBot="1">
      <c r="A33" s="79"/>
      <c r="B33" s="79"/>
      <c r="C33" s="30"/>
      <c r="D33" s="30"/>
      <c r="E33" s="82"/>
      <c r="F33" s="82"/>
    </row>
    <row r="34" spans="1:11" ht="17.25" customHeight="1" thickTop="1" thickBot="1">
      <c r="A34" s="326" t="s">
        <v>118</v>
      </c>
      <c r="B34" s="326"/>
      <c r="C34" s="30"/>
      <c r="D34" s="30"/>
      <c r="E34" s="327">
        <f>calculadora!E8</f>
        <v>0</v>
      </c>
      <c r="F34" s="328"/>
    </row>
    <row r="35" spans="1:11" ht="17.25" customHeight="1" thickTop="1">
      <c r="A35" s="299" t="s">
        <v>115</v>
      </c>
      <c r="B35" s="299"/>
      <c r="C35" s="30"/>
      <c r="D35" s="30"/>
      <c r="E35" s="329" t="e">
        <f>E34/E32</f>
        <v>#DIV/0!</v>
      </c>
      <c r="F35" s="329"/>
    </row>
    <row r="36" spans="1:11" ht="13.5" customHeight="1">
      <c r="A36" s="78"/>
      <c r="B36" s="78"/>
      <c r="C36" s="30"/>
      <c r="D36" s="30"/>
      <c r="E36" s="85"/>
      <c r="F36" s="85"/>
    </row>
    <row r="37" spans="1:11" ht="16.5" thickBot="1">
      <c r="A37" s="294" t="s">
        <v>99</v>
      </c>
      <c r="B37" s="294"/>
      <c r="E37" s="292">
        <f>E32-E34</f>
        <v>0</v>
      </c>
      <c r="F37" s="292"/>
    </row>
    <row r="38" spans="1:11" ht="17.25" thickTop="1" thickBot="1">
      <c r="A38" s="326" t="s">
        <v>100</v>
      </c>
      <c r="B38" s="326"/>
      <c r="E38" s="330">
        <f>calculadora!E12</f>
        <v>0</v>
      </c>
      <c r="F38" s="331"/>
    </row>
    <row r="39" spans="1:11" ht="16.5" thickTop="1">
      <c r="A39" s="299" t="s">
        <v>101</v>
      </c>
      <c r="B39" s="299"/>
      <c r="E39" s="332">
        <f>calculadora!E13</f>
        <v>0</v>
      </c>
      <c r="F39" s="332"/>
    </row>
    <row r="40" spans="1:11" ht="16.5" thickBot="1">
      <c r="A40" s="325" t="s">
        <v>102</v>
      </c>
      <c r="B40" s="325"/>
      <c r="E40" s="332">
        <f>tasa2+E39</f>
        <v>0</v>
      </c>
      <c r="F40" s="332"/>
    </row>
    <row r="41" spans="1:11" ht="17.25" thickTop="1" thickBot="1">
      <c r="A41" s="326" t="s">
        <v>103</v>
      </c>
      <c r="B41" s="326"/>
      <c r="E41" s="333">
        <f>calculadora!E9</f>
        <v>0</v>
      </c>
      <c r="F41" s="334"/>
      <c r="J41" s="335"/>
      <c r="K41" s="335"/>
    </row>
    <row r="42" spans="1:11" ht="16.5" thickTop="1">
      <c r="A42" s="40"/>
      <c r="B42" s="40"/>
      <c r="E42" s="64"/>
      <c r="F42" s="64"/>
    </row>
    <row r="43" spans="1:11" ht="15.75">
      <c r="A43" s="66" t="s">
        <v>131</v>
      </c>
      <c r="B43" s="40"/>
      <c r="E43" s="64"/>
      <c r="F43" s="64"/>
      <c r="I43" s="65"/>
    </row>
    <row r="44" spans="1:11" ht="15.75">
      <c r="A44" s="299" t="s">
        <v>18</v>
      </c>
      <c r="B44" s="299"/>
      <c r="E44" s="297">
        <v>0</v>
      </c>
      <c r="F44" s="297"/>
      <c r="I44" s="65"/>
    </row>
    <row r="45" spans="1:11" ht="15.75">
      <c r="A45" s="299"/>
      <c r="B45" s="299"/>
      <c r="E45" s="300"/>
      <c r="F45" s="300"/>
    </row>
    <row r="46" spans="1:11" ht="15.75">
      <c r="A46" s="299" t="s">
        <v>105</v>
      </c>
      <c r="B46" s="299"/>
      <c r="E46" s="297">
        <v>0</v>
      </c>
      <c r="F46" s="297"/>
      <c r="G46" s="67"/>
      <c r="J46" s="295"/>
      <c r="K46" s="295"/>
    </row>
    <row r="47" spans="1:11" ht="15.75">
      <c r="A47" s="296" t="s">
        <v>106</v>
      </c>
      <c r="B47" s="296"/>
      <c r="E47" s="297">
        <f>E46/1.05</f>
        <v>0</v>
      </c>
      <c r="F47" s="297"/>
      <c r="G47" s="67"/>
      <c r="J47" s="81"/>
      <c r="K47" s="81"/>
    </row>
    <row r="48" spans="1:11" ht="15.75">
      <c r="A48" s="296" t="s">
        <v>107</v>
      </c>
      <c r="B48" s="296"/>
      <c r="E48" s="297">
        <f>(E46/1.05)*5%</f>
        <v>0</v>
      </c>
      <c r="F48" s="297"/>
      <c r="G48" s="67"/>
      <c r="J48" s="81"/>
      <c r="K48" s="81"/>
    </row>
    <row r="49" spans="1:11" ht="15.75">
      <c r="G49" s="67"/>
      <c r="J49" s="81"/>
      <c r="K49" s="81"/>
    </row>
    <row r="50" spans="1:11" ht="15.75">
      <c r="A50" s="299" t="s">
        <v>108</v>
      </c>
      <c r="B50" s="299"/>
      <c r="E50" s="297">
        <f>IF(recargo_a=0, 0, ((($E$47/plazo_dic)*(1+recargo_a))*plazo_dic)*(1+5%))</f>
        <v>0</v>
      </c>
      <c r="F50" s="297"/>
      <c r="G50" s="81"/>
      <c r="H50" s="78"/>
      <c r="I50" s="78"/>
      <c r="J50" s="81"/>
      <c r="K50" s="81"/>
    </row>
    <row r="51" spans="1:11" ht="15.75">
      <c r="A51" s="296" t="s">
        <v>106</v>
      </c>
      <c r="B51" s="296"/>
      <c r="E51" s="297">
        <f>E50/1.05</f>
        <v>0</v>
      </c>
      <c r="F51" s="297"/>
      <c r="G51" s="81"/>
      <c r="H51" s="78"/>
      <c r="I51" s="78"/>
      <c r="J51" s="81"/>
      <c r="K51" s="81"/>
    </row>
    <row r="52" spans="1:11" ht="15.75">
      <c r="A52" s="296" t="s">
        <v>107</v>
      </c>
      <c r="B52" s="296"/>
      <c r="E52" s="297">
        <f>(E50/1.05)*5%</f>
        <v>0</v>
      </c>
      <c r="F52" s="297"/>
    </row>
    <row r="53" spans="1:11" ht="15.75">
      <c r="A53" s="40"/>
      <c r="B53" s="40"/>
      <c r="E53" s="64"/>
      <c r="F53" s="64"/>
    </row>
    <row r="54" spans="1:11" ht="1.5" customHeight="1">
      <c r="A54" s="294" t="s">
        <v>21</v>
      </c>
      <c r="B54" s="294"/>
      <c r="E54" s="292">
        <f>IF(recargo_a=0,(E37+E45+E46),(E37+E45+E50))</f>
        <v>0</v>
      </c>
      <c r="F54" s="292"/>
    </row>
    <row r="55" spans="1:11" ht="15.75">
      <c r="A55" s="294" t="s">
        <v>21</v>
      </c>
      <c r="B55" s="294"/>
      <c r="E55" s="292">
        <f>E54+E44</f>
        <v>0</v>
      </c>
      <c r="F55" s="293"/>
      <c r="G55" s="244"/>
    </row>
    <row r="56" spans="1:11" ht="15.75">
      <c r="A56" s="299"/>
      <c r="B56" s="299"/>
      <c r="C56" s="80"/>
      <c r="D56" s="80"/>
      <c r="E56" s="300"/>
      <c r="F56" s="300"/>
    </row>
    <row r="57" spans="1:11" ht="15.75">
      <c r="A57" s="299" t="s">
        <v>104</v>
      </c>
      <c r="B57" s="299"/>
      <c r="C57" s="80"/>
      <c r="D57" s="80"/>
      <c r="E57" s="297" t="e">
        <f>-PMT(E40/12,plazo_auto,E55)+IF(N12=1,((E40*(E55/360)*30*INT(plazo_auto/12))/plazo_auto),0)</f>
        <v>#NUM!</v>
      </c>
      <c r="F57" s="297"/>
    </row>
    <row r="58" spans="1:11" ht="15.75">
      <c r="A58" s="294" t="s">
        <v>22</v>
      </c>
      <c r="B58" s="294"/>
      <c r="E58" s="292" t="e">
        <f>IF(N24=1,E56+E57, E57)</f>
        <v>#NUM!</v>
      </c>
      <c r="F58" s="292"/>
    </row>
    <row r="59" spans="1:11" ht="15.75">
      <c r="A59" s="294"/>
      <c r="B59" s="294"/>
      <c r="E59" s="298"/>
      <c r="F59" s="298"/>
    </row>
    <row r="63" spans="1:11" ht="15.75">
      <c r="A63" s="40" t="s">
        <v>134</v>
      </c>
      <c r="B63" s="40"/>
    </row>
    <row r="64" spans="1:11" ht="15.75">
      <c r="A64" s="40"/>
      <c r="B64" s="40"/>
    </row>
    <row r="65" spans="1:3" ht="15.75">
      <c r="A65" s="40" t="s">
        <v>135</v>
      </c>
      <c r="B65" s="40"/>
    </row>
    <row r="66" spans="1:3" ht="15.75">
      <c r="A66" s="40"/>
      <c r="B66" s="40"/>
    </row>
    <row r="67" spans="1:3" ht="15.75">
      <c r="A67" s="40"/>
      <c r="B67" s="40"/>
    </row>
    <row r="68" spans="1:3" ht="15.75">
      <c r="A68" s="40"/>
      <c r="B68" s="40"/>
    </row>
    <row r="69" spans="1:3" ht="15.75">
      <c r="A69" s="40"/>
      <c r="B69" s="40"/>
    </row>
    <row r="70" spans="1:3" ht="15.75">
      <c r="A70" s="87" t="s">
        <v>136</v>
      </c>
      <c r="B70" s="87"/>
      <c r="C70" s="88"/>
    </row>
    <row r="73" spans="1:3" ht="15.75">
      <c r="A73" s="87" t="s">
        <v>111</v>
      </c>
      <c r="B73" s="88"/>
      <c r="C73" s="88"/>
    </row>
  </sheetData>
  <mergeCells count="95">
    <mergeCell ref="E41:F41"/>
    <mergeCell ref="J41:K41"/>
    <mergeCell ref="K26:M26"/>
    <mergeCell ref="K22:L22"/>
    <mergeCell ref="A22:B22"/>
    <mergeCell ref="A24:B24"/>
    <mergeCell ref="C24:F24"/>
    <mergeCell ref="C22:D22"/>
    <mergeCell ref="A28:B28"/>
    <mergeCell ref="C28:F28"/>
    <mergeCell ref="I28:L28"/>
    <mergeCell ref="K24:L24"/>
    <mergeCell ref="I24:J24"/>
    <mergeCell ref="I26:J26"/>
    <mergeCell ref="A26:B26"/>
    <mergeCell ref="C26:D26"/>
    <mergeCell ref="E35:F35"/>
    <mergeCell ref="E37:F37"/>
    <mergeCell ref="E38:F38"/>
    <mergeCell ref="E39:F39"/>
    <mergeCell ref="E40:F40"/>
    <mergeCell ref="I22:J22"/>
    <mergeCell ref="E30:F30"/>
    <mergeCell ref="E31:F31"/>
    <mergeCell ref="E32:F32"/>
    <mergeCell ref="E34:F34"/>
    <mergeCell ref="A37:B37"/>
    <mergeCell ref="A38:B38"/>
    <mergeCell ref="A39:B39"/>
    <mergeCell ref="A40:B40"/>
    <mergeCell ref="A41:B41"/>
    <mergeCell ref="A30:B30"/>
    <mergeCell ref="A31:B31"/>
    <mergeCell ref="A32:B32"/>
    <mergeCell ref="A34:B34"/>
    <mergeCell ref="A35:B35"/>
    <mergeCell ref="A8:B8"/>
    <mergeCell ref="C8:F8"/>
    <mergeCell ref="I8:J8"/>
    <mergeCell ref="K8:L8"/>
    <mergeCell ref="A4:O4"/>
    <mergeCell ref="A5:O5"/>
    <mergeCell ref="A10:B10"/>
    <mergeCell ref="C10:D10"/>
    <mergeCell ref="I10:J10"/>
    <mergeCell ref="K10:L10"/>
    <mergeCell ref="A12:B12"/>
    <mergeCell ref="C12:D12"/>
    <mergeCell ref="I12:J12"/>
    <mergeCell ref="K12:L12"/>
    <mergeCell ref="A14:B14"/>
    <mergeCell ref="C14:D14"/>
    <mergeCell ref="I14:J14"/>
    <mergeCell ref="K14:L14"/>
    <mergeCell ref="A16:B16"/>
    <mergeCell ref="C16:F16"/>
    <mergeCell ref="I16:J16"/>
    <mergeCell ref="K16:L16"/>
    <mergeCell ref="A18:B18"/>
    <mergeCell ref="C18:D18"/>
    <mergeCell ref="I18:J18"/>
    <mergeCell ref="K18:L18"/>
    <mergeCell ref="A20:B20"/>
    <mergeCell ref="C20:D20"/>
    <mergeCell ref="I20:J20"/>
    <mergeCell ref="K20:L20"/>
    <mergeCell ref="E44:F44"/>
    <mergeCell ref="A45:B45"/>
    <mergeCell ref="E45:F45"/>
    <mergeCell ref="A46:B46"/>
    <mergeCell ref="E46:F46"/>
    <mergeCell ref="A44:B44"/>
    <mergeCell ref="A59:B59"/>
    <mergeCell ref="E59:F59"/>
    <mergeCell ref="A50:B50"/>
    <mergeCell ref="E50:F50"/>
    <mergeCell ref="A51:B51"/>
    <mergeCell ref="E51:F51"/>
    <mergeCell ref="A52:B52"/>
    <mergeCell ref="E52:F52"/>
    <mergeCell ref="A54:B54"/>
    <mergeCell ref="E54:F54"/>
    <mergeCell ref="A58:B58"/>
    <mergeCell ref="E57:F57"/>
    <mergeCell ref="A56:B56"/>
    <mergeCell ref="A57:B57"/>
    <mergeCell ref="E56:F56"/>
    <mergeCell ref="E58:F58"/>
    <mergeCell ref="E55:F55"/>
    <mergeCell ref="A55:B55"/>
    <mergeCell ref="J46:K46"/>
    <mergeCell ref="A47:B47"/>
    <mergeCell ref="E47:F47"/>
    <mergeCell ref="E48:F48"/>
    <mergeCell ref="A48:B48"/>
  </mergeCells>
  <dataValidations count="7">
    <dataValidation type="list" allowBlank="1" showInputMessage="1" showErrorMessage="1" sqref="K10">
      <formula1>tipo_de_préstamo</formula1>
    </dataValidation>
    <dataValidation type="list" allowBlank="1" showInputMessage="1" showErrorMessage="1" sqref="C18:D18">
      <formula1>Empresa</formula1>
    </dataValidation>
    <dataValidation type="list" allowBlank="1" showInputMessage="1" showErrorMessage="1" sqref="K14">
      <formula1>Seguro</formula1>
    </dataValidation>
    <dataValidation type="list" allowBlank="1" showInputMessage="1" showErrorMessage="1" sqref="K12">
      <formula1>Forma_pago</formula1>
    </dataValidation>
    <dataValidation type="list" allowBlank="1" showInputMessage="1" showErrorMessage="1" sqref="J34 K24:M24">
      <formula1>Póliza_auto</formula1>
    </dataValidation>
    <dataValidation type="list" allowBlank="1" showInputMessage="1" showErrorMessage="1" sqref="C26:D27">
      <formula1>Feria</formula1>
    </dataValidation>
    <dataValidation type="list" allowBlank="1" showInputMessage="1" showErrorMessage="1" sqref="M28">
      <formula1>Mantiene_póliza_vigente</formula1>
    </dataValidation>
  </dataValidations>
  <pageMargins left="0.39370078740157483" right="0.39370078740157483" top="0.35433070866141736" bottom="0.35433070866141736" header="0.31496062992125984" footer="0.31496062992125984"/>
  <pageSetup scale="6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P204"/>
  <sheetViews>
    <sheetView showGridLines="0" showWhiteSpace="0" zoomScale="70" zoomScaleNormal="70" zoomScalePageLayoutView="80" workbookViewId="0">
      <selection activeCell="C98" sqref="C98"/>
    </sheetView>
  </sheetViews>
  <sheetFormatPr baseColWidth="10" defaultColWidth="7.28515625" defaultRowHeight="15"/>
  <cols>
    <col min="1" max="1" width="12.85546875" style="22" customWidth="1"/>
    <col min="2" max="2" width="14.28515625" style="22" customWidth="1"/>
    <col min="3" max="3" width="14.140625" style="22" customWidth="1"/>
    <col min="4" max="4" width="13.140625" style="22" customWidth="1"/>
    <col min="5" max="5" width="3.85546875" style="22" customWidth="1"/>
    <col min="6" max="6" width="22.7109375" style="22" customWidth="1"/>
    <col min="7" max="7" width="15.85546875" style="22" customWidth="1"/>
    <col min="8" max="8" width="12.140625" style="22" customWidth="1"/>
    <col min="9" max="9" width="10.5703125" style="22" customWidth="1"/>
    <col min="10" max="10" width="14.42578125" style="22" customWidth="1"/>
    <col min="11" max="11" width="10.7109375" style="22" customWidth="1"/>
    <col min="12" max="12" width="9.7109375" style="22" customWidth="1"/>
    <col min="13" max="13" width="5.28515625" style="22" customWidth="1"/>
    <col min="14" max="14" width="11.140625" style="22" customWidth="1"/>
    <col min="15" max="16384" width="7.28515625" style="22"/>
  </cols>
  <sheetData>
    <row r="1" spans="1:14" ht="21" customHeight="1"/>
    <row r="2" spans="1:14" ht="22.5" customHeight="1" thickBot="1">
      <c r="G2" s="30"/>
      <c r="H2" s="30"/>
      <c r="I2" s="137" t="s">
        <v>109</v>
      </c>
      <c r="J2" s="137"/>
      <c r="K2" s="137"/>
      <c r="L2" s="137"/>
      <c r="M2" s="137"/>
      <c r="N2" s="137"/>
    </row>
    <row r="3" spans="1:14" ht="15" customHeight="1" thickTop="1">
      <c r="A3" s="139"/>
      <c r="B3" s="139"/>
      <c r="C3" s="139"/>
      <c r="D3" s="140"/>
      <c r="E3" s="140"/>
      <c r="F3" s="140"/>
      <c r="G3" s="140"/>
      <c r="H3" s="140"/>
      <c r="I3" s="171"/>
      <c r="J3" s="171"/>
      <c r="K3" s="171"/>
      <c r="L3" s="171"/>
      <c r="M3" s="171"/>
      <c r="N3" s="171"/>
    </row>
    <row r="4" spans="1:14" ht="15" customHeight="1">
      <c r="A4" s="135" t="s">
        <v>152</v>
      </c>
      <c r="B4" s="136"/>
      <c r="C4" s="404"/>
      <c r="D4" s="405"/>
      <c r="E4" s="135"/>
      <c r="F4" s="135" t="s">
        <v>153</v>
      </c>
      <c r="G4" s="404"/>
      <c r="H4" s="405"/>
      <c r="I4" s="129"/>
      <c r="J4" s="129"/>
      <c r="K4" s="169"/>
      <c r="L4" s="114"/>
      <c r="M4" s="114"/>
      <c r="N4" s="114"/>
    </row>
    <row r="5" spans="1:14" ht="4.5" customHeight="1">
      <c r="A5" s="77"/>
      <c r="B5" s="77"/>
      <c r="C5" s="77"/>
      <c r="D5" s="23"/>
      <c r="E5" s="77"/>
      <c r="F5" s="77"/>
      <c r="G5" s="77"/>
      <c r="H5" s="23"/>
      <c r="I5" s="129"/>
      <c r="J5" s="129"/>
      <c r="K5" s="172"/>
      <c r="L5" s="172"/>
      <c r="M5" s="172"/>
      <c r="N5" s="172"/>
    </row>
    <row r="6" spans="1:14" ht="15.75">
      <c r="A6" s="101" t="s">
        <v>180</v>
      </c>
      <c r="B6" s="101"/>
      <c r="C6" s="399">
        <f>Cotización!C8</f>
        <v>0</v>
      </c>
      <c r="D6" s="400"/>
      <c r="E6" s="101"/>
      <c r="F6" s="101" t="s">
        <v>180</v>
      </c>
      <c r="G6" s="399"/>
      <c r="H6" s="400"/>
      <c r="I6" s="170"/>
      <c r="J6" s="170"/>
      <c r="K6" s="169"/>
      <c r="L6" s="169"/>
      <c r="M6" s="113"/>
      <c r="N6" s="117"/>
    </row>
    <row r="7" spans="1:14" ht="3.75" customHeight="1">
      <c r="A7" s="24"/>
      <c r="B7" s="24"/>
      <c r="C7" s="24"/>
      <c r="D7" s="24"/>
      <c r="E7" s="24"/>
      <c r="F7" s="24"/>
      <c r="G7" s="24"/>
      <c r="H7" s="24"/>
      <c r="I7" s="164"/>
      <c r="J7" s="164"/>
      <c r="K7" s="164"/>
      <c r="L7" s="164"/>
      <c r="M7" s="113"/>
      <c r="N7" s="165"/>
    </row>
    <row r="8" spans="1:14" ht="19.5" customHeight="1">
      <c r="A8" s="101" t="s">
        <v>91</v>
      </c>
      <c r="B8" s="131"/>
      <c r="C8" s="399">
        <f>Cotización!C10</f>
        <v>0</v>
      </c>
      <c r="D8" s="400"/>
      <c r="E8" s="101"/>
      <c r="F8" s="101" t="s">
        <v>91</v>
      </c>
      <c r="G8" s="399"/>
      <c r="H8" s="400"/>
      <c r="I8" s="170"/>
      <c r="J8" s="170"/>
      <c r="K8" s="99" t="s">
        <v>192</v>
      </c>
      <c r="N8" s="142"/>
    </row>
    <row r="9" spans="1:14" ht="6" customHeight="1">
      <c r="A9" s="24"/>
      <c r="B9" s="24"/>
      <c r="C9" s="24"/>
      <c r="D9" s="24"/>
      <c r="E9" s="24"/>
      <c r="F9" s="24"/>
      <c r="G9" s="24"/>
      <c r="H9" s="24"/>
      <c r="I9" s="170"/>
      <c r="J9" s="170"/>
      <c r="K9" s="170"/>
      <c r="L9" s="170"/>
      <c r="M9" s="170"/>
      <c r="N9" s="170"/>
    </row>
    <row r="10" spans="1:14" ht="19.5" customHeight="1">
      <c r="A10" s="89" t="s">
        <v>181</v>
      </c>
      <c r="B10" s="101"/>
      <c r="C10" s="399">
        <f>tiempo_actual_a</f>
        <v>0</v>
      </c>
      <c r="D10" s="400"/>
      <c r="E10" s="89"/>
      <c r="F10" s="89" t="s">
        <v>181</v>
      </c>
      <c r="G10" s="399"/>
      <c r="H10" s="400"/>
      <c r="I10" s="170"/>
      <c r="J10" s="170"/>
      <c r="K10" s="99" t="s">
        <v>193</v>
      </c>
      <c r="M10" s="59"/>
      <c r="N10" s="167"/>
    </row>
    <row r="11" spans="1:14" ht="6.75" customHeight="1">
      <c r="A11" s="24"/>
      <c r="B11" s="24"/>
      <c r="C11" s="24"/>
      <c r="D11" s="24"/>
      <c r="E11" s="24"/>
      <c r="F11" s="24"/>
      <c r="G11" s="24"/>
      <c r="H11" s="24"/>
      <c r="I11" s="170"/>
      <c r="J11" s="170"/>
      <c r="K11" s="170"/>
      <c r="L11" s="170"/>
      <c r="M11" s="170"/>
      <c r="N11" s="170"/>
    </row>
    <row r="12" spans="1:14" ht="19.5" customHeight="1">
      <c r="A12" s="58" t="s">
        <v>182</v>
      </c>
      <c r="B12" s="58"/>
      <c r="C12" s="399">
        <f>trabajo_a</f>
        <v>0</v>
      </c>
      <c r="D12" s="400"/>
      <c r="E12" s="58"/>
      <c r="F12" s="58" t="s">
        <v>182</v>
      </c>
      <c r="G12" s="399"/>
      <c r="H12" s="400"/>
      <c r="I12" s="170"/>
      <c r="J12" s="415" t="s">
        <v>179</v>
      </c>
      <c r="K12" s="416"/>
      <c r="L12" s="455" t="str">
        <f>Cotización!K10</f>
        <v>Elegir una opción</v>
      </c>
      <c r="M12" s="455"/>
      <c r="N12" s="455"/>
    </row>
    <row r="13" spans="1:14" ht="5.25" customHeight="1" thickBot="1">
      <c r="A13" s="24"/>
      <c r="B13" s="24"/>
      <c r="C13" s="24"/>
      <c r="D13" s="24"/>
      <c r="E13" s="24"/>
      <c r="F13" s="24"/>
      <c r="G13" s="24"/>
      <c r="H13" s="24"/>
      <c r="I13" s="170"/>
      <c r="J13" s="170"/>
      <c r="K13" s="170"/>
      <c r="L13" s="170"/>
      <c r="M13" s="170"/>
      <c r="N13" s="170"/>
    </row>
    <row r="14" spans="1:14" ht="19.5" customHeight="1">
      <c r="A14" s="132" t="s">
        <v>96</v>
      </c>
      <c r="B14" s="133"/>
      <c r="C14" s="399">
        <f>Cargo_a</f>
        <v>0</v>
      </c>
      <c r="D14" s="400"/>
      <c r="E14" s="132"/>
      <c r="F14" s="132" t="s">
        <v>96</v>
      </c>
      <c r="G14" s="399"/>
      <c r="H14" s="400"/>
      <c r="I14" s="170"/>
      <c r="J14" s="415" t="s">
        <v>194</v>
      </c>
      <c r="K14" s="416"/>
      <c r="L14" s="409">
        <f>Cotización!C26</f>
        <v>0</v>
      </c>
      <c r="M14" s="410"/>
      <c r="N14" s="411"/>
    </row>
    <row r="15" spans="1:14" ht="3.75" customHeight="1">
      <c r="A15" s="24"/>
      <c r="B15" s="24"/>
      <c r="C15" s="24"/>
      <c r="D15" s="24"/>
      <c r="E15" s="24"/>
      <c r="F15" s="24"/>
      <c r="G15" s="24"/>
      <c r="H15" s="24"/>
      <c r="I15" s="170"/>
      <c r="J15" s="170"/>
      <c r="K15" s="170"/>
      <c r="L15" s="170"/>
      <c r="M15" s="170"/>
      <c r="N15" s="170"/>
    </row>
    <row r="16" spans="1:14" ht="19.5" customHeight="1">
      <c r="A16" s="101" t="s">
        <v>183</v>
      </c>
      <c r="B16" s="58"/>
      <c r="C16" s="456"/>
      <c r="D16" s="457"/>
      <c r="E16" s="101"/>
      <c r="F16" s="101" t="s">
        <v>183</v>
      </c>
      <c r="G16" s="399"/>
      <c r="H16" s="400"/>
      <c r="I16" s="170"/>
      <c r="J16" s="451" t="s">
        <v>195</v>
      </c>
      <c r="K16" s="452"/>
      <c r="L16" s="399">
        <f>Cotización!C28</f>
        <v>0</v>
      </c>
      <c r="M16" s="400"/>
      <c r="N16" s="400"/>
    </row>
    <row r="17" spans="1:16" ht="6.75" customHeight="1">
      <c r="A17" s="24"/>
      <c r="B17" s="24"/>
      <c r="C17" s="24"/>
      <c r="D17" s="24"/>
      <c r="E17" s="24"/>
      <c r="F17" s="24"/>
      <c r="G17" s="24"/>
      <c r="H17" s="24"/>
      <c r="I17" s="170"/>
      <c r="J17" s="170"/>
      <c r="K17" s="170"/>
      <c r="L17" s="170"/>
      <c r="M17" s="170"/>
      <c r="N17" s="170"/>
    </row>
    <row r="18" spans="1:16" ht="15.75" customHeight="1">
      <c r="A18" s="101" t="s">
        <v>184</v>
      </c>
      <c r="B18" s="58"/>
      <c r="C18" s="399" t="s">
        <v>178</v>
      </c>
      <c r="D18" s="400"/>
      <c r="E18" s="101"/>
      <c r="F18" s="101" t="s">
        <v>184</v>
      </c>
      <c r="G18" s="399"/>
      <c r="H18" s="400"/>
      <c r="I18" s="170"/>
      <c r="J18" s="146" t="s">
        <v>154</v>
      </c>
      <c r="K18" s="453" t="s">
        <v>24</v>
      </c>
      <c r="L18" s="453"/>
      <c r="M18" s="453"/>
      <c r="N18" s="147" t="s">
        <v>25</v>
      </c>
    </row>
    <row r="19" spans="1:16" ht="3" customHeight="1">
      <c r="A19" s="24"/>
      <c r="B19" s="24"/>
      <c r="C19" s="24"/>
      <c r="D19" s="24"/>
      <c r="E19" s="24"/>
      <c r="F19" s="24"/>
      <c r="G19" s="24"/>
      <c r="H19" s="24"/>
      <c r="I19" s="170"/>
      <c r="J19" s="145"/>
      <c r="K19" s="393"/>
      <c r="L19" s="393"/>
      <c r="M19" s="412"/>
      <c r="N19" s="412"/>
    </row>
    <row r="20" spans="1:16" ht="18.75" customHeight="1">
      <c r="A20" s="89" t="s">
        <v>185</v>
      </c>
      <c r="B20" s="101"/>
      <c r="C20" s="399">
        <f>tiempo_anterior_a</f>
        <v>0</v>
      </c>
      <c r="D20" s="400"/>
      <c r="E20" s="89"/>
      <c r="F20" s="89" t="s">
        <v>185</v>
      </c>
      <c r="G20" s="399"/>
      <c r="H20" s="400"/>
      <c r="I20" s="170"/>
      <c r="J20" s="175">
        <f>salario2</f>
        <v>10000</v>
      </c>
      <c r="K20" s="458">
        <f>J20*N20</f>
        <v>3500</v>
      </c>
      <c r="L20" s="458"/>
      <c r="M20" s="458"/>
      <c r="N20" s="179">
        <v>0.35</v>
      </c>
    </row>
    <row r="21" spans="1:16" ht="4.5" customHeight="1">
      <c r="G21" s="24"/>
      <c r="H21" s="24"/>
      <c r="I21" s="170"/>
      <c r="J21" s="170"/>
      <c r="K21" s="170"/>
      <c r="L21" s="170"/>
      <c r="M21" s="170"/>
      <c r="N21" s="170"/>
    </row>
    <row r="22" spans="1:16" ht="22.5" customHeight="1">
      <c r="A22" s="99" t="s">
        <v>186</v>
      </c>
      <c r="C22" s="399"/>
      <c r="D22" s="400"/>
      <c r="F22" s="89" t="s">
        <v>189</v>
      </c>
      <c r="G22" s="399"/>
      <c r="H22" s="400"/>
      <c r="I22" s="170"/>
      <c r="J22" s="170"/>
      <c r="K22" s="170"/>
      <c r="L22" s="170"/>
      <c r="M22" s="170"/>
      <c r="N22" s="170"/>
      <c r="O22" s="148"/>
      <c r="P22" s="148"/>
    </row>
    <row r="23" spans="1:16" s="103" customFormat="1" ht="7.5" customHeight="1">
      <c r="A23" s="138"/>
      <c r="B23" s="138"/>
      <c r="C23" s="138"/>
      <c r="D23" s="138"/>
      <c r="E23" s="138"/>
      <c r="F23" s="138"/>
      <c r="G23" s="138"/>
      <c r="H23" s="138"/>
      <c r="I23" s="170"/>
      <c r="J23" s="170"/>
      <c r="K23" s="170"/>
      <c r="L23" s="170"/>
      <c r="M23" s="170"/>
      <c r="N23" s="170"/>
      <c r="O23" s="148"/>
      <c r="P23" s="148"/>
    </row>
    <row r="24" spans="1:16" s="103" customFormat="1" ht="31.5">
      <c r="A24" s="326" t="s">
        <v>187</v>
      </c>
      <c r="B24" s="462"/>
      <c r="C24" s="399"/>
      <c r="D24" s="400"/>
      <c r="E24" s="138"/>
      <c r="F24" s="92" t="s">
        <v>190</v>
      </c>
      <c r="G24" s="399"/>
      <c r="H24" s="400"/>
      <c r="I24" s="170"/>
      <c r="J24" s="170"/>
      <c r="K24" s="454" t="s">
        <v>161</v>
      </c>
      <c r="L24" s="454"/>
      <c r="M24" s="454"/>
      <c r="N24" s="150" t="s">
        <v>160</v>
      </c>
      <c r="O24" s="149"/>
      <c r="P24" s="149"/>
    </row>
    <row r="25" spans="1:16" s="103" customFormat="1" ht="0.75" customHeight="1">
      <c r="A25" s="138"/>
      <c r="B25" s="138"/>
      <c r="C25" s="138"/>
      <c r="D25" s="138"/>
      <c r="E25" s="138"/>
      <c r="F25" s="138"/>
      <c r="G25" s="138"/>
      <c r="H25" s="138"/>
      <c r="I25" s="170"/>
      <c r="J25" s="170"/>
      <c r="K25" s="138"/>
      <c r="L25" s="138"/>
      <c r="M25" s="138"/>
      <c r="N25" s="138"/>
      <c r="O25" s="148"/>
      <c r="P25" s="148"/>
    </row>
    <row r="26" spans="1:16" s="103" customFormat="1" ht="23.25" customHeight="1">
      <c r="A26" s="93" t="s">
        <v>188</v>
      </c>
      <c r="B26" s="138"/>
      <c r="C26" s="399"/>
      <c r="D26" s="400"/>
      <c r="E26" s="138"/>
      <c r="F26" s="152" t="s">
        <v>191</v>
      </c>
      <c r="G26" s="399"/>
      <c r="H26" s="400"/>
      <c r="I26" s="170"/>
      <c r="J26" s="170"/>
      <c r="K26" s="448" t="e">
        <f>H40</f>
        <v>#NUM!</v>
      </c>
      <c r="L26" s="449"/>
      <c r="M26" s="450"/>
      <c r="N26" s="155" t="e">
        <f>K26/J20</f>
        <v>#NUM!</v>
      </c>
      <c r="O26" s="148"/>
      <c r="P26" s="148"/>
    </row>
    <row r="27" spans="1:16" s="103" customFormat="1" ht="18.75" customHeight="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</row>
    <row r="28" spans="1:16" ht="12.75" customHeight="1">
      <c r="A28" s="406" t="s">
        <v>156</v>
      </c>
      <c r="B28" s="406"/>
      <c r="C28" s="406"/>
      <c r="D28" s="406"/>
      <c r="E28" s="406"/>
      <c r="F28" s="406"/>
      <c r="G28" s="406"/>
      <c r="H28" s="406"/>
      <c r="I28" s="406"/>
      <c r="J28" s="406"/>
      <c r="K28" s="406"/>
      <c r="L28" s="406"/>
      <c r="M28" s="406"/>
      <c r="N28" s="406"/>
    </row>
    <row r="29" spans="1:16" ht="7.5" customHeight="1">
      <c r="A29" s="30"/>
      <c r="B29" s="30"/>
      <c r="C29" s="30"/>
      <c r="D29" s="30"/>
      <c r="E29" s="30"/>
      <c r="F29" s="30"/>
      <c r="G29" s="134"/>
      <c r="H29" s="134"/>
      <c r="I29" s="96"/>
      <c r="J29" s="96"/>
      <c r="K29" s="102"/>
      <c r="L29" s="102"/>
      <c r="M29" s="102"/>
      <c r="N29" s="143"/>
    </row>
    <row r="30" spans="1:16" ht="20.25" customHeight="1">
      <c r="A30" s="101" t="s">
        <v>1</v>
      </c>
      <c r="B30" s="463"/>
      <c r="C30" s="463"/>
      <c r="D30" s="463"/>
      <c r="E30" s="463"/>
      <c r="F30" s="89" t="s">
        <v>155</v>
      </c>
      <c r="G30" s="408"/>
      <c r="H30" s="408"/>
      <c r="I30" s="408"/>
      <c r="J30" s="408"/>
      <c r="K30" s="102"/>
      <c r="L30" s="102"/>
      <c r="M30" s="102"/>
      <c r="N30" s="25"/>
    </row>
    <row r="31" spans="1:16" ht="11.25" customHeight="1">
      <c r="A31" s="29"/>
      <c r="B31" s="29"/>
      <c r="C31" s="31"/>
      <c r="D31" s="26"/>
      <c r="E31" s="32"/>
      <c r="F31" s="32"/>
      <c r="G31" s="32"/>
      <c r="N31" s="32"/>
    </row>
    <row r="32" spans="1:16">
      <c r="A32" s="406" t="s">
        <v>6</v>
      </c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</row>
    <row r="33" spans="1:14" ht="3" customHeight="1">
      <c r="A33" s="429"/>
      <c r="B33" s="429"/>
    </row>
    <row r="34" spans="1:14" ht="15.75">
      <c r="A34" s="460"/>
      <c r="B34" s="460"/>
      <c r="C34" s="461"/>
      <c r="D34" s="461"/>
      <c r="E34" s="141"/>
      <c r="F34" s="396"/>
      <c r="G34" s="396"/>
      <c r="H34" s="396"/>
      <c r="J34" s="103"/>
      <c r="K34" s="397" t="s">
        <v>7</v>
      </c>
      <c r="L34" s="397"/>
      <c r="M34" s="397"/>
      <c r="N34" s="397"/>
    </row>
    <row r="35" spans="1:14" ht="3.75" customHeight="1">
      <c r="A35" s="95"/>
      <c r="B35" s="95"/>
      <c r="C35" s="34"/>
      <c r="D35" s="34"/>
      <c r="F35" s="94"/>
      <c r="G35" s="94"/>
      <c r="H35" s="94"/>
      <c r="J35" s="103"/>
      <c r="K35" s="104"/>
      <c r="L35" s="104"/>
      <c r="M35" s="104"/>
      <c r="N35" s="104"/>
    </row>
    <row r="36" spans="1:14" ht="15.75">
      <c r="A36" s="366" t="s">
        <v>157</v>
      </c>
      <c r="B36" s="367"/>
      <c r="C36" s="377">
        <f>valor_auto/1.07</f>
        <v>0</v>
      </c>
      <c r="D36" s="378"/>
      <c r="F36" s="386" t="s">
        <v>18</v>
      </c>
      <c r="G36" s="387"/>
      <c r="H36" s="377">
        <f>Cotización!E44</f>
        <v>0</v>
      </c>
      <c r="I36" s="378"/>
      <c r="J36" s="103"/>
      <c r="K36" s="105" t="s">
        <v>8</v>
      </c>
      <c r="L36" s="388" t="s">
        <v>9</v>
      </c>
      <c r="M36" s="389"/>
      <c r="N36" s="103"/>
    </row>
    <row r="37" spans="1:14" ht="3.75" customHeight="1">
      <c r="A37" s="35"/>
      <c r="B37" s="35"/>
      <c r="C37" s="31"/>
      <c r="F37" s="36"/>
      <c r="G37" s="37"/>
      <c r="H37" s="38"/>
      <c r="J37" s="103"/>
      <c r="K37" s="106"/>
      <c r="L37" s="107"/>
      <c r="M37" s="108"/>
      <c r="N37" s="103"/>
    </row>
    <row r="38" spans="1:14" ht="15.75">
      <c r="A38" s="366" t="s">
        <v>19</v>
      </c>
      <c r="B38" s="367"/>
      <c r="C38" s="377">
        <f>C36*0.07</f>
        <v>0</v>
      </c>
      <c r="D38" s="378"/>
      <c r="H38" s="392"/>
      <c r="I38" s="393"/>
      <c r="J38" s="103"/>
      <c r="K38" s="106">
        <v>0</v>
      </c>
      <c r="L38" s="394">
        <v>0.16</v>
      </c>
      <c r="M38" s="395"/>
      <c r="N38" s="103"/>
    </row>
    <row r="39" spans="1:14" ht="3.75" customHeight="1">
      <c r="A39" s="39"/>
      <c r="B39" s="40"/>
      <c r="C39" s="24"/>
      <c r="F39" s="37"/>
      <c r="G39" s="37"/>
      <c r="H39" s="38"/>
      <c r="J39" s="103"/>
      <c r="K39" s="106"/>
      <c r="L39" s="107"/>
      <c r="M39" s="108"/>
      <c r="N39" s="103"/>
    </row>
    <row r="40" spans="1:14" ht="15.75">
      <c r="A40" s="366" t="s">
        <v>20</v>
      </c>
      <c r="B40" s="367"/>
      <c r="C40" s="432">
        <f>C36+C38</f>
        <v>0</v>
      </c>
      <c r="D40" s="433"/>
      <c r="F40" s="366" t="s">
        <v>13</v>
      </c>
      <c r="G40" s="367"/>
      <c r="H40" s="364" t="e">
        <f>-PMT($C$52/12,$C$54,$C$60)+IF($M$58=1,(($C$52*($C$60/360)*30*INT($C$54/12))/$C$54),0)</f>
        <v>#NUM!</v>
      </c>
      <c r="I40" s="365"/>
      <c r="J40" s="109"/>
      <c r="K40" s="106">
        <v>30</v>
      </c>
      <c r="L40" s="394">
        <v>0.26</v>
      </c>
      <c r="M40" s="395"/>
      <c r="N40" s="103"/>
    </row>
    <row r="41" spans="1:14" ht="3.75" customHeight="1" thickBot="1">
      <c r="A41" s="41"/>
      <c r="B41" s="42"/>
      <c r="C41" s="43"/>
      <c r="D41" s="39"/>
      <c r="F41" s="39"/>
      <c r="G41" s="39"/>
      <c r="H41" s="44"/>
      <c r="J41" s="103"/>
      <c r="K41" s="106"/>
      <c r="L41" s="394"/>
      <c r="M41" s="395"/>
      <c r="N41" s="103"/>
    </row>
    <row r="42" spans="1:14" ht="15.75" customHeight="1">
      <c r="A42" s="366" t="s">
        <v>196</v>
      </c>
      <c r="B42" s="367"/>
      <c r="C42" s="435">
        <f>abono</f>
        <v>0</v>
      </c>
      <c r="D42" s="436"/>
      <c r="F42" s="366" t="s">
        <v>5</v>
      </c>
      <c r="G42" s="367"/>
      <c r="H42" s="445" t="str">
        <f>pago_elige</f>
        <v>Cargo a cuenta</v>
      </c>
      <c r="I42" s="446"/>
      <c r="J42" s="103"/>
      <c r="K42" s="106">
        <v>40</v>
      </c>
      <c r="L42" s="394">
        <v>0.32</v>
      </c>
      <c r="M42" s="395"/>
      <c r="N42" s="103"/>
    </row>
    <row r="43" spans="1:14" ht="3.75" customHeight="1" thickBot="1">
      <c r="A43" s="45"/>
      <c r="B43" s="37"/>
      <c r="C43" s="46"/>
      <c r="D43" s="39"/>
      <c r="F43" s="35"/>
      <c r="G43" s="35"/>
      <c r="H43" s="38"/>
      <c r="J43" s="103"/>
      <c r="K43" s="106"/>
      <c r="L43" s="394"/>
      <c r="M43" s="395"/>
      <c r="N43" s="103"/>
    </row>
    <row r="44" spans="1:14" ht="15.75">
      <c r="A44" s="366" t="s">
        <v>115</v>
      </c>
      <c r="B44" s="367"/>
      <c r="C44" s="441" t="e">
        <f>C42/C40</f>
        <v>#DIV/0!</v>
      </c>
      <c r="D44" s="442"/>
      <c r="F44" s="366" t="s">
        <v>150</v>
      </c>
      <c r="G44" s="434"/>
      <c r="H44" s="445" t="str">
        <f>póliza</f>
        <v>Elegir</v>
      </c>
      <c r="I44" s="446"/>
      <c r="J44" s="109"/>
      <c r="K44" s="106">
        <v>45</v>
      </c>
      <c r="L44" s="394">
        <v>0.32</v>
      </c>
      <c r="M44" s="395"/>
      <c r="N44" s="103"/>
    </row>
    <row r="45" spans="1:14" ht="3.75" customHeight="1">
      <c r="A45" s="45"/>
      <c r="B45" s="37"/>
      <c r="C45" s="47"/>
      <c r="D45" s="39"/>
      <c r="G45" s="42"/>
      <c r="H45" s="48"/>
      <c r="I45" s="40"/>
      <c r="J45" s="103"/>
      <c r="K45" s="106">
        <v>100</v>
      </c>
      <c r="L45" s="394">
        <v>1.05</v>
      </c>
      <c r="M45" s="395"/>
      <c r="N45" s="103"/>
    </row>
    <row r="46" spans="1:14" ht="15.75">
      <c r="A46" s="366" t="s">
        <v>177</v>
      </c>
      <c r="B46" s="434"/>
      <c r="C46" s="364">
        <f>C40-C42</f>
        <v>0</v>
      </c>
      <c r="D46" s="365"/>
      <c r="F46" s="366" t="s">
        <v>175</v>
      </c>
      <c r="G46" s="434"/>
      <c r="H46" s="443"/>
      <c r="I46" s="444"/>
      <c r="J46" s="103"/>
      <c r="K46" s="106">
        <v>50</v>
      </c>
      <c r="L46" s="394">
        <v>0.32</v>
      </c>
      <c r="M46" s="395"/>
      <c r="N46" s="103"/>
    </row>
    <row r="47" spans="1:14" ht="3.75" customHeight="1" thickBot="1">
      <c r="A47" s="41"/>
      <c r="B47" s="42"/>
      <c r="C47" s="38"/>
      <c r="D47" s="60"/>
      <c r="F47" s="49"/>
      <c r="J47" s="103"/>
      <c r="K47" s="106"/>
      <c r="L47" s="394"/>
      <c r="M47" s="395"/>
      <c r="N47" s="103"/>
    </row>
    <row r="48" spans="1:14" ht="15.75">
      <c r="A48" s="366" t="s">
        <v>11</v>
      </c>
      <c r="B48" s="367"/>
      <c r="C48" s="379">
        <f>tasa2</f>
        <v>0</v>
      </c>
      <c r="D48" s="380"/>
      <c r="F48" s="366" t="s">
        <v>176</v>
      </c>
      <c r="G48" s="434"/>
      <c r="H48" s="445" t="str">
        <f>póliza</f>
        <v>Elegir</v>
      </c>
      <c r="I48" s="446"/>
      <c r="J48" s="103"/>
      <c r="K48" s="106">
        <v>55</v>
      </c>
      <c r="L48" s="394">
        <v>0.32</v>
      </c>
      <c r="M48" s="395"/>
      <c r="N48" s="103"/>
    </row>
    <row r="49" spans="1:14" ht="3.75" customHeight="1">
      <c r="J49" s="103"/>
      <c r="K49" s="110"/>
      <c r="L49" s="394"/>
      <c r="M49" s="395"/>
      <c r="N49" s="103"/>
    </row>
    <row r="50" spans="1:14" ht="15.75">
      <c r="A50" s="366" t="s">
        <v>12</v>
      </c>
      <c r="B50" s="367"/>
      <c r="C50" s="379">
        <f>IF(C36&gt;5000,1,0)/100</f>
        <v>0</v>
      </c>
      <c r="D50" s="380"/>
      <c r="F50" s="366" t="s">
        <v>175</v>
      </c>
      <c r="G50" s="434"/>
      <c r="H50" s="443"/>
      <c r="I50" s="444"/>
      <c r="J50" s="103"/>
      <c r="K50" s="106">
        <v>61</v>
      </c>
      <c r="L50" s="394">
        <v>0.74</v>
      </c>
      <c r="M50" s="395"/>
      <c r="N50" s="103"/>
    </row>
    <row r="51" spans="1:14" ht="3.75" customHeight="1">
      <c r="A51" s="45"/>
      <c r="B51" s="37"/>
      <c r="C51" s="44"/>
      <c r="D51" s="39"/>
      <c r="F51" s="35"/>
      <c r="G51" s="35"/>
      <c r="H51" s="31"/>
      <c r="J51" s="103"/>
      <c r="K51" s="110"/>
      <c r="L51" s="394"/>
      <c r="M51" s="395"/>
      <c r="N51" s="103"/>
    </row>
    <row r="52" spans="1:14" ht="15.75">
      <c r="A52" s="366" t="s">
        <v>10</v>
      </c>
      <c r="B52" s="367"/>
      <c r="C52" s="437">
        <f>C48+C50</f>
        <v>0</v>
      </c>
      <c r="D52" s="438"/>
      <c r="F52" s="428"/>
      <c r="G52" s="428"/>
      <c r="H52" s="459"/>
      <c r="I52" s="459"/>
      <c r="J52" s="103"/>
      <c r="K52" s="106">
        <v>66</v>
      </c>
      <c r="L52" s="394">
        <v>1.05</v>
      </c>
      <c r="M52" s="395"/>
      <c r="N52" s="103"/>
    </row>
    <row r="53" spans="1:14" ht="3.75" customHeight="1">
      <c r="A53" s="45"/>
      <c r="B53" s="37"/>
      <c r="C53" s="47"/>
      <c r="F53" s="97"/>
      <c r="G53" s="97"/>
      <c r="H53" s="38"/>
      <c r="J53" s="103"/>
      <c r="K53" s="106"/>
      <c r="L53" s="394"/>
      <c r="M53" s="395"/>
      <c r="N53" s="103"/>
    </row>
    <row r="54" spans="1:14" ht="15.75">
      <c r="A54" s="366" t="s">
        <v>79</v>
      </c>
      <c r="B54" s="367"/>
      <c r="C54" s="381">
        <f>plazo_auto</f>
        <v>0</v>
      </c>
      <c r="D54" s="382"/>
      <c r="F54" s="368" t="s">
        <v>75</v>
      </c>
      <c r="G54" s="369"/>
      <c r="H54" s="370">
        <f>C56/1.05</f>
        <v>0</v>
      </c>
      <c r="I54" s="371"/>
      <c r="J54" s="103"/>
      <c r="K54" s="106">
        <v>100</v>
      </c>
      <c r="L54" s="394">
        <v>1.05</v>
      </c>
      <c r="M54" s="395"/>
      <c r="N54" s="103"/>
    </row>
    <row r="55" spans="1:14" ht="3" customHeight="1">
      <c r="F55" s="35"/>
      <c r="G55" s="35"/>
      <c r="H55" s="31"/>
      <c r="J55" s="103"/>
      <c r="K55" s="103"/>
      <c r="L55" s="103"/>
      <c r="M55" s="103"/>
      <c r="N55" s="103"/>
    </row>
    <row r="56" spans="1:14" ht="15" customHeight="1">
      <c r="A56" s="366" t="s">
        <v>112</v>
      </c>
      <c r="B56" s="367"/>
      <c r="C56" s="377">
        <f>+Cotización!E46</f>
        <v>0</v>
      </c>
      <c r="D56" s="378"/>
      <c r="F56" s="368" t="s">
        <v>76</v>
      </c>
      <c r="G56" s="369"/>
      <c r="H56" s="370">
        <f>(C56/1.05)*5%</f>
        <v>0</v>
      </c>
      <c r="I56" s="371"/>
      <c r="J56" s="103"/>
      <c r="K56" s="372" t="s">
        <v>129</v>
      </c>
      <c r="L56" s="373"/>
      <c r="M56" s="374">
        <f>IF(póliza="Otras Aseg.", 2, IF(póliza="Elegir", 0, 1))</f>
        <v>0</v>
      </c>
      <c r="N56" s="375"/>
    </row>
    <row r="57" spans="1:14" ht="3.75" customHeight="1">
      <c r="F57" s="50"/>
      <c r="G57" s="50"/>
      <c r="H57" s="427"/>
      <c r="I57" s="427"/>
      <c r="J57" s="103"/>
      <c r="K57" s="103"/>
      <c r="L57" s="103"/>
      <c r="M57" s="103"/>
      <c r="N57" s="103"/>
    </row>
    <row r="58" spans="1:14" ht="15.75">
      <c r="A58" s="366" t="s">
        <v>113</v>
      </c>
      <c r="B58" s="367"/>
      <c r="C58" s="377">
        <f>+Cotización!E50</f>
        <v>0</v>
      </c>
      <c r="D58" s="378"/>
      <c r="E58" s="51"/>
      <c r="F58" s="368" t="s">
        <v>130</v>
      </c>
      <c r="G58" s="369"/>
      <c r="H58" s="370">
        <f>C58/1.05</f>
        <v>0</v>
      </c>
      <c r="I58" s="371"/>
      <c r="J58" s="111"/>
      <c r="K58" s="372" t="s">
        <v>114</v>
      </c>
      <c r="L58" s="373"/>
      <c r="M58" s="430">
        <f>IF(pago_elige="Descuento directo", 1, IF(pago_elige="Cargo a cuenta", 2, IF(pago_elige="Pago voluntario", 3, 0)))</f>
        <v>2</v>
      </c>
      <c r="N58" s="431"/>
    </row>
    <row r="59" spans="1:14" ht="3.75" customHeight="1">
      <c r="B59" s="50"/>
      <c r="C59" s="50"/>
      <c r="D59" s="50"/>
      <c r="E59" s="50"/>
      <c r="F59" s="83"/>
      <c r="G59" s="83"/>
      <c r="H59" s="38"/>
      <c r="J59" s="464"/>
      <c r="K59" s="464"/>
      <c r="L59" s="103"/>
      <c r="M59" s="103"/>
      <c r="N59" s="103"/>
    </row>
    <row r="60" spans="1:14" ht="15.75" customHeight="1">
      <c r="A60" s="366" t="s">
        <v>21</v>
      </c>
      <c r="B60" s="367"/>
      <c r="C60" s="364">
        <f>IF(recargo_a=0,(C46+H36+H38+C56),(C46+H36+H38+C58))</f>
        <v>0</v>
      </c>
      <c r="D60" s="365"/>
      <c r="E60" s="40"/>
      <c r="F60" s="368" t="s">
        <v>76</v>
      </c>
      <c r="G60" s="369"/>
      <c r="H60" s="370">
        <f>(C58/1.05)*5%</f>
        <v>0</v>
      </c>
      <c r="I60" s="371"/>
      <c r="J60" s="112"/>
      <c r="K60" s="372" t="s">
        <v>116</v>
      </c>
      <c r="L60" s="373"/>
      <c r="M60" s="374">
        <f>IF(seguro_selec="Otras Aseg.", 2, IF(seguro_selec="Elegir", 0, 1))</f>
        <v>0</v>
      </c>
      <c r="N60" s="375"/>
    </row>
    <row r="61" spans="1:14" ht="15" customHeight="1">
      <c r="N61" s="25"/>
    </row>
    <row r="62" spans="1:14">
      <c r="A62" s="447" t="s">
        <v>158</v>
      </c>
      <c r="B62" s="447"/>
      <c r="C62" s="447"/>
      <c r="D62" s="447"/>
      <c r="E62" s="447"/>
      <c r="F62" s="447"/>
      <c r="G62" s="447"/>
      <c r="H62" s="447"/>
      <c r="I62" s="447"/>
      <c r="J62" s="447"/>
      <c r="K62" s="447"/>
      <c r="L62" s="447"/>
      <c r="M62" s="447"/>
      <c r="N62" s="447"/>
    </row>
    <row r="63" spans="1:14">
      <c r="A63" s="383" t="s">
        <v>14</v>
      </c>
      <c r="B63" s="384"/>
      <c r="C63" s="384"/>
      <c r="D63" s="385"/>
      <c r="E63" s="383" t="s">
        <v>159</v>
      </c>
      <c r="F63" s="384"/>
      <c r="G63" s="384"/>
      <c r="H63" s="384"/>
      <c r="I63" s="385"/>
      <c r="J63" s="360" t="s">
        <v>199</v>
      </c>
      <c r="K63" s="361"/>
      <c r="L63" s="341" t="s">
        <v>13</v>
      </c>
      <c r="M63" s="342"/>
      <c r="N63" s="342"/>
    </row>
    <row r="64" spans="1:14" ht="17.25" customHeight="1">
      <c r="A64" s="354"/>
      <c r="B64" s="354"/>
      <c r="C64" s="354"/>
      <c r="D64" s="355"/>
      <c r="E64" s="356"/>
      <c r="F64" s="357"/>
      <c r="G64" s="357"/>
      <c r="H64" s="357"/>
      <c r="I64" s="358"/>
      <c r="J64" s="352"/>
      <c r="K64" s="353"/>
      <c r="L64" s="343"/>
      <c r="M64" s="344"/>
      <c r="N64" s="344"/>
    </row>
    <row r="65" spans="1:14" ht="15" customHeight="1">
      <c r="A65" s="354"/>
      <c r="B65" s="354"/>
      <c r="C65" s="354"/>
      <c r="D65" s="355"/>
      <c r="E65" s="356"/>
      <c r="F65" s="357"/>
      <c r="G65" s="357"/>
      <c r="H65" s="357"/>
      <c r="I65" s="358"/>
      <c r="J65" s="343"/>
      <c r="K65" s="359"/>
      <c r="L65" s="343"/>
      <c r="M65" s="344"/>
      <c r="N65" s="344"/>
    </row>
    <row r="66" spans="1:14" ht="14.25" customHeight="1">
      <c r="A66" s="354"/>
      <c r="B66" s="354"/>
      <c r="C66" s="354"/>
      <c r="D66" s="355"/>
      <c r="E66" s="356"/>
      <c r="F66" s="357"/>
      <c r="G66" s="357"/>
      <c r="H66" s="357"/>
      <c r="I66" s="358"/>
      <c r="J66" s="343"/>
      <c r="K66" s="359"/>
      <c r="L66" s="343"/>
      <c r="M66" s="344"/>
      <c r="N66" s="344"/>
    </row>
    <row r="67" spans="1:14" ht="15" customHeight="1">
      <c r="A67" s="354"/>
      <c r="B67" s="354"/>
      <c r="C67" s="354"/>
      <c r="D67" s="355"/>
      <c r="E67" s="356"/>
      <c r="F67" s="357"/>
      <c r="G67" s="357"/>
      <c r="H67" s="357"/>
      <c r="I67" s="358"/>
      <c r="J67" s="343"/>
      <c r="K67" s="359"/>
      <c r="L67" s="343"/>
      <c r="M67" s="344"/>
      <c r="N67" s="344"/>
    </row>
    <row r="68" spans="1:14" ht="16.5" customHeight="1">
      <c r="A68" s="354"/>
      <c r="B68" s="354"/>
      <c r="C68" s="354"/>
      <c r="D68" s="355"/>
      <c r="E68" s="356"/>
      <c r="F68" s="357"/>
      <c r="G68" s="357"/>
      <c r="H68" s="357"/>
      <c r="I68" s="358"/>
      <c r="J68" s="343"/>
      <c r="K68" s="359"/>
      <c r="L68" s="343"/>
      <c r="M68" s="344"/>
      <c r="N68" s="344"/>
    </row>
    <row r="69" spans="1:14" ht="16.5" customHeight="1">
      <c r="A69" s="354"/>
      <c r="B69" s="354"/>
      <c r="C69" s="354"/>
      <c r="D69" s="355"/>
      <c r="E69" s="356"/>
      <c r="F69" s="357"/>
      <c r="G69" s="357"/>
      <c r="H69" s="357"/>
      <c r="I69" s="358"/>
      <c r="J69" s="343"/>
      <c r="K69" s="359"/>
      <c r="L69" s="343"/>
      <c r="M69" s="344"/>
      <c r="N69" s="344"/>
    </row>
    <row r="70" spans="1:14" ht="18.75" customHeight="1">
      <c r="A70" s="354"/>
      <c r="B70" s="354"/>
      <c r="C70" s="354"/>
      <c r="D70" s="355"/>
      <c r="E70" s="356"/>
      <c r="F70" s="357"/>
      <c r="G70" s="357"/>
      <c r="H70" s="357"/>
      <c r="I70" s="358"/>
      <c r="J70" s="343"/>
      <c r="K70" s="359"/>
      <c r="L70" s="343"/>
      <c r="M70" s="344"/>
      <c r="N70" s="344"/>
    </row>
    <row r="71" spans="1:14" ht="16.5" customHeight="1">
      <c r="A71" s="354"/>
      <c r="B71" s="354"/>
      <c r="C71" s="354"/>
      <c r="D71" s="355"/>
      <c r="E71" s="356"/>
      <c r="F71" s="357"/>
      <c r="G71" s="357"/>
      <c r="H71" s="357"/>
      <c r="I71" s="358"/>
      <c r="J71" s="343"/>
      <c r="K71" s="359"/>
      <c r="L71" s="343"/>
      <c r="M71" s="344"/>
      <c r="N71" s="344"/>
    </row>
    <row r="72" spans="1:14" ht="16.5" customHeight="1">
      <c r="A72" s="354"/>
      <c r="B72" s="354"/>
      <c r="C72" s="354"/>
      <c r="D72" s="355"/>
      <c r="E72" s="356"/>
      <c r="F72" s="357"/>
      <c r="G72" s="357"/>
      <c r="H72" s="357"/>
      <c r="I72" s="358"/>
      <c r="J72" s="343"/>
      <c r="K72" s="359"/>
      <c r="L72" s="343"/>
      <c r="M72" s="344"/>
      <c r="N72" s="344"/>
    </row>
    <row r="73" spans="1:14" ht="15.75" customHeight="1">
      <c r="A73" s="354"/>
      <c r="B73" s="354"/>
      <c r="C73" s="354"/>
      <c r="D73" s="355"/>
      <c r="E73" s="356"/>
      <c r="F73" s="357"/>
      <c r="G73" s="357"/>
      <c r="H73" s="357"/>
      <c r="I73" s="358"/>
      <c r="J73" s="343"/>
      <c r="K73" s="359"/>
      <c r="L73" s="343"/>
      <c r="M73" s="344"/>
      <c r="N73" s="344"/>
    </row>
    <row r="74" spans="1:14" ht="19.5" customHeight="1">
      <c r="A74" s="163" t="s">
        <v>162</v>
      </c>
      <c r="B74" s="163"/>
      <c r="C74" s="163"/>
      <c r="D74" s="115"/>
      <c r="E74" s="115"/>
      <c r="F74" s="115"/>
      <c r="G74" s="115"/>
      <c r="H74" s="115"/>
      <c r="I74" s="116" t="s">
        <v>15</v>
      </c>
      <c r="J74" s="344">
        <f>SUM(J64:K73)</f>
        <v>0</v>
      </c>
      <c r="K74" s="359"/>
      <c r="L74" s="343">
        <f>SUM(L64:N73)</f>
        <v>0</v>
      </c>
      <c r="M74" s="344"/>
      <c r="N74" s="344"/>
    </row>
    <row r="75" spans="1:14" ht="19.5" customHeight="1">
      <c r="A75" s="163"/>
      <c r="B75" s="163"/>
      <c r="C75" s="163"/>
      <c r="D75" s="115"/>
      <c r="E75" s="115"/>
      <c r="F75" s="115"/>
      <c r="G75" s="115"/>
      <c r="H75" s="115"/>
      <c r="I75" s="116"/>
      <c r="J75" s="151"/>
      <c r="K75" s="151"/>
      <c r="L75" s="151"/>
      <c r="M75" s="151"/>
      <c r="N75" s="151"/>
    </row>
    <row r="76" spans="1:14" ht="19.5" customHeight="1">
      <c r="A76" s="163" t="s">
        <v>163</v>
      </c>
      <c r="B76" s="163"/>
      <c r="C76" s="163"/>
      <c r="D76" s="153">
        <f>L74</f>
        <v>0</v>
      </c>
      <c r="E76" s="115"/>
      <c r="F76" s="115"/>
      <c r="G76" s="115"/>
      <c r="H76" s="115"/>
      <c r="I76" s="116"/>
      <c r="J76" s="151"/>
      <c r="K76" s="151"/>
      <c r="L76" s="151"/>
      <c r="M76" s="151"/>
      <c r="N76" s="151"/>
    </row>
    <row r="77" spans="1:14" ht="19.5" customHeight="1">
      <c r="A77" s="163" t="s">
        <v>164</v>
      </c>
      <c r="B77" s="163"/>
      <c r="C77" s="163"/>
      <c r="D77" s="153" t="e">
        <f>H40</f>
        <v>#NUM!</v>
      </c>
      <c r="E77" s="115"/>
      <c r="F77" s="345" t="s">
        <v>165</v>
      </c>
      <c r="G77" s="345"/>
      <c r="H77" s="115"/>
      <c r="I77" s="345" t="s">
        <v>200</v>
      </c>
      <c r="J77" s="345"/>
      <c r="K77" s="345"/>
      <c r="L77" s="151"/>
      <c r="M77" s="151"/>
      <c r="N77" s="151"/>
    </row>
    <row r="78" spans="1:14" ht="19.5" customHeight="1">
      <c r="A78" s="163" t="s">
        <v>198</v>
      </c>
      <c r="B78" s="163"/>
      <c r="C78" s="163"/>
      <c r="D78" s="154" t="e">
        <f>SUM(D76:D77)</f>
        <v>#NUM!</v>
      </c>
      <c r="E78" s="115"/>
      <c r="F78" s="346" t="e">
        <f>D78/J20</f>
        <v>#NUM!</v>
      </c>
      <c r="G78" s="346"/>
      <c r="H78" s="115"/>
      <c r="I78" s="346" t="e">
        <f>(D77)/J20</f>
        <v>#NUM!</v>
      </c>
      <c r="J78" s="346"/>
      <c r="K78" s="346"/>
      <c r="L78" s="151"/>
      <c r="M78" s="151"/>
      <c r="N78" s="151"/>
    </row>
    <row r="79" spans="1:14" ht="18" customHeight="1"/>
    <row r="80" spans="1:14" ht="15.75">
      <c r="A80" s="157" t="s">
        <v>111</v>
      </c>
      <c r="B80" s="347" t="s">
        <v>166</v>
      </c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8"/>
    </row>
    <row r="81" spans="1:14" ht="15.75">
      <c r="A81" s="158"/>
      <c r="B81" s="422"/>
      <c r="C81" s="423"/>
      <c r="D81" s="423"/>
      <c r="E81" s="423"/>
      <c r="F81" s="423"/>
      <c r="G81" s="423"/>
      <c r="H81" s="423"/>
      <c r="I81" s="423"/>
      <c r="J81" s="423"/>
      <c r="K81" s="423"/>
      <c r="L81" s="423"/>
      <c r="M81" s="423"/>
      <c r="N81" s="424"/>
    </row>
    <row r="82" spans="1:14" ht="15.75">
      <c r="A82" s="158"/>
      <c r="B82" s="419"/>
      <c r="C82" s="420"/>
      <c r="D82" s="420"/>
      <c r="E82" s="420"/>
      <c r="F82" s="420"/>
      <c r="G82" s="420"/>
      <c r="H82" s="420"/>
      <c r="I82" s="420"/>
      <c r="J82" s="420"/>
      <c r="K82" s="420"/>
      <c r="L82" s="420"/>
      <c r="M82" s="420"/>
      <c r="N82" s="421"/>
    </row>
    <row r="83" spans="1:14" ht="15.75">
      <c r="A83" s="158"/>
      <c r="B83" s="419"/>
      <c r="C83" s="420"/>
      <c r="D83" s="420"/>
      <c r="E83" s="420"/>
      <c r="F83" s="420"/>
      <c r="G83" s="420"/>
      <c r="H83" s="420"/>
      <c r="I83" s="420"/>
      <c r="J83" s="420"/>
      <c r="K83" s="420"/>
      <c r="L83" s="420"/>
      <c r="M83" s="420"/>
      <c r="N83" s="421"/>
    </row>
    <row r="84" spans="1:14" ht="15.75">
      <c r="A84" s="158"/>
      <c r="B84" s="419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0"/>
      <c r="N84" s="421"/>
    </row>
    <row r="85" spans="1:14" ht="15.75">
      <c r="A85" s="158"/>
      <c r="B85" s="419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1"/>
    </row>
    <row r="86" spans="1:14" ht="15.75">
      <c r="A86" s="158"/>
      <c r="B86" s="419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0"/>
      <c r="N86" s="421"/>
    </row>
    <row r="87" spans="1:14" ht="15.75">
      <c r="A87" s="157" t="s">
        <v>111</v>
      </c>
      <c r="B87" s="347" t="s">
        <v>167</v>
      </c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8"/>
    </row>
    <row r="88" spans="1:14" ht="15.75">
      <c r="A88" s="158"/>
      <c r="B88" s="419"/>
      <c r="C88" s="420"/>
      <c r="D88" s="420"/>
      <c r="E88" s="420"/>
      <c r="F88" s="420"/>
      <c r="G88" s="420"/>
      <c r="H88" s="420"/>
      <c r="I88" s="420"/>
      <c r="J88" s="420"/>
      <c r="K88" s="420"/>
      <c r="L88" s="420"/>
      <c r="M88" s="420"/>
      <c r="N88" s="421"/>
    </row>
    <row r="89" spans="1:14" ht="15.75">
      <c r="A89" s="158"/>
      <c r="B89" s="419"/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  <c r="N89" s="421"/>
    </row>
    <row r="90" spans="1:14" ht="15.75">
      <c r="A90" s="158"/>
      <c r="B90" s="419"/>
      <c r="C90" s="420"/>
      <c r="D90" s="420"/>
      <c r="E90" s="420"/>
      <c r="F90" s="420"/>
      <c r="G90" s="420"/>
      <c r="H90" s="420"/>
      <c r="I90" s="420"/>
      <c r="J90" s="420"/>
      <c r="K90" s="420"/>
      <c r="L90" s="420"/>
      <c r="M90" s="420"/>
      <c r="N90" s="421"/>
    </row>
    <row r="91" spans="1:14" ht="15.75">
      <c r="A91" s="158"/>
      <c r="B91" s="419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0"/>
      <c r="N91" s="421"/>
    </row>
    <row r="92" spans="1:14" ht="15.75">
      <c r="A92" s="158"/>
      <c r="B92" s="419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0"/>
      <c r="N92" s="421"/>
    </row>
    <row r="93" spans="1:14" ht="15.75">
      <c r="A93" s="158"/>
      <c r="B93" s="419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0"/>
      <c r="N93" s="421"/>
    </row>
    <row r="94" spans="1:14" ht="15.75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</row>
    <row r="95" spans="1:14" ht="24" customHeight="1">
      <c r="A95" s="413" t="s">
        <v>170</v>
      </c>
      <c r="B95" s="413"/>
      <c r="C95" s="399"/>
      <c r="D95" s="400"/>
      <c r="E95" s="156"/>
      <c r="F95" s="159" t="s">
        <v>171</v>
      </c>
      <c r="G95" s="399"/>
      <c r="H95" s="400"/>
      <c r="J95" s="101" t="s">
        <v>111</v>
      </c>
      <c r="K95" s="401"/>
      <c r="L95" s="400"/>
      <c r="M95" s="156"/>
      <c r="N95" s="156"/>
    </row>
    <row r="96" spans="1:14" ht="24" customHeight="1">
      <c r="A96" s="89"/>
      <c r="B96" s="89"/>
      <c r="C96" s="161"/>
      <c r="D96" s="162"/>
      <c r="E96" s="156"/>
      <c r="F96" s="159"/>
      <c r="G96" s="161"/>
      <c r="H96" s="162"/>
      <c r="J96" s="101"/>
      <c r="K96" s="161"/>
      <c r="L96" s="162"/>
      <c r="M96" s="156"/>
      <c r="N96" s="156"/>
    </row>
    <row r="97" spans="1:14" ht="23.25" customHeight="1">
      <c r="A97" s="413" t="s">
        <v>172</v>
      </c>
      <c r="B97" s="413"/>
      <c r="C97" s="465" t="s">
        <v>243</v>
      </c>
      <c r="D97" s="403"/>
      <c r="E97" s="156"/>
      <c r="F97" s="160" t="s">
        <v>173</v>
      </c>
      <c r="G97" s="465"/>
      <c r="H97" s="403"/>
      <c r="J97" s="101" t="s">
        <v>111</v>
      </c>
      <c r="K97" s="402"/>
      <c r="L97" s="403"/>
      <c r="M97" s="156"/>
      <c r="N97" s="156"/>
    </row>
    <row r="98" spans="1:14" ht="15.75">
      <c r="A98" s="156" t="s">
        <v>168</v>
      </c>
      <c r="B98" s="156"/>
      <c r="C98" s="156"/>
      <c r="D98" s="156"/>
      <c r="E98" s="156"/>
      <c r="F98" s="156"/>
      <c r="G98" s="156"/>
      <c r="H98" s="156"/>
      <c r="I98" s="156"/>
      <c r="J98" s="156" t="s">
        <v>174</v>
      </c>
      <c r="K98" s="156"/>
      <c r="L98" s="156"/>
      <c r="M98" s="156"/>
      <c r="N98" s="156"/>
    </row>
    <row r="99" spans="1:14" ht="15.75" customHeight="1">
      <c r="A99" s="101" t="s">
        <v>169</v>
      </c>
      <c r="B99" s="101"/>
      <c r="C99" s="30"/>
      <c r="D99" s="30"/>
      <c r="E99" s="30"/>
      <c r="F99" s="30"/>
      <c r="G99" s="30"/>
      <c r="H99" s="30"/>
      <c r="I99" s="30"/>
      <c r="J99" s="30"/>
      <c r="K99" s="30"/>
      <c r="L99" s="57"/>
      <c r="M99" s="30"/>
      <c r="N99" s="30"/>
    </row>
    <row r="100" spans="1:14" ht="15.75" customHeight="1">
      <c r="A100" s="101"/>
      <c r="B100" s="101"/>
      <c r="C100" s="30"/>
      <c r="D100" s="30"/>
      <c r="E100" s="30"/>
      <c r="F100" s="30"/>
      <c r="G100" s="30"/>
      <c r="H100" s="30"/>
      <c r="I100" s="30"/>
      <c r="J100" s="30"/>
      <c r="K100" s="30"/>
      <c r="L100" s="57"/>
      <c r="M100" s="30"/>
      <c r="N100" s="30"/>
    </row>
    <row r="101" spans="1:14" ht="15.75">
      <c r="A101" s="90"/>
      <c r="B101" s="90"/>
      <c r="C101" s="31"/>
      <c r="D101" s="31"/>
      <c r="E101" s="31"/>
      <c r="F101" s="90"/>
      <c r="G101" s="90"/>
      <c r="H101" s="31"/>
      <c r="I101" s="31"/>
      <c r="J101" s="31"/>
      <c r="K101" s="90"/>
      <c r="L101" s="90"/>
      <c r="M101" s="68"/>
      <c r="N101" s="68"/>
    </row>
    <row r="102" spans="1:14" ht="18.75" customHeight="1"/>
    <row r="103" spans="1:14" ht="21.75" customHeight="1" thickBot="1">
      <c r="I103" s="398" t="s">
        <v>110</v>
      </c>
      <c r="J103" s="398"/>
      <c r="K103" s="398"/>
      <c r="L103" s="398"/>
      <c r="M103" s="398"/>
      <c r="N103" s="398"/>
    </row>
    <row r="104" spans="1:14" ht="16.5" customHeight="1" thickTop="1">
      <c r="A104" s="20"/>
      <c r="B104" s="20"/>
      <c r="C104" s="20"/>
      <c r="D104" s="21"/>
      <c r="E104" s="21"/>
      <c r="F104" s="21"/>
      <c r="G104" s="21"/>
      <c r="H104" s="21"/>
      <c r="N104" s="23"/>
    </row>
    <row r="105" spans="1:14" ht="13.5" customHeight="1">
      <c r="A105" s="77"/>
      <c r="B105" s="77"/>
      <c r="C105" s="77"/>
      <c r="D105" s="23"/>
      <c r="E105" s="23"/>
      <c r="F105" s="23"/>
      <c r="G105" s="23"/>
      <c r="H105" s="23"/>
      <c r="K105" s="152" t="s">
        <v>201</v>
      </c>
      <c r="L105" s="114"/>
      <c r="M105" s="114"/>
      <c r="N105" s="168"/>
    </row>
    <row r="106" spans="1:14" ht="5.25" customHeight="1">
      <c r="A106" s="77"/>
      <c r="B106" s="77"/>
      <c r="C106" s="77"/>
      <c r="D106" s="23"/>
      <c r="E106" s="23"/>
      <c r="F106" s="23"/>
      <c r="G106" s="23"/>
      <c r="H106" s="23"/>
      <c r="K106" s="152"/>
      <c r="L106" s="114"/>
      <c r="M106" s="114"/>
      <c r="N106" s="23"/>
    </row>
    <row r="107" spans="1:14" ht="21" customHeight="1">
      <c r="A107" s="135" t="s">
        <v>152</v>
      </c>
      <c r="B107" s="136"/>
      <c r="C107" s="404"/>
      <c r="D107" s="405"/>
      <c r="E107" s="114"/>
      <c r="F107" s="135" t="s">
        <v>153</v>
      </c>
      <c r="G107" s="404"/>
      <c r="H107" s="405"/>
      <c r="I107" s="114"/>
      <c r="J107" s="114"/>
      <c r="K107" s="152" t="s">
        <v>0</v>
      </c>
      <c r="L107" s="114"/>
      <c r="M107" s="114"/>
      <c r="N107" s="168"/>
    </row>
    <row r="108" spans="1:14" ht="9" customHeight="1" thickBot="1">
      <c r="A108" s="77"/>
      <c r="B108" s="77"/>
      <c r="C108" s="77"/>
      <c r="D108" s="23"/>
      <c r="E108" s="114"/>
      <c r="F108" s="77"/>
      <c r="G108" s="77"/>
      <c r="H108" s="23"/>
      <c r="I108" s="114"/>
      <c r="J108" s="114"/>
      <c r="K108" s="114"/>
      <c r="L108" s="114"/>
      <c r="M108" s="114"/>
      <c r="N108" s="114"/>
    </row>
    <row r="109" spans="1:14" ht="20.25" customHeight="1">
      <c r="A109" s="101" t="s">
        <v>180</v>
      </c>
      <c r="B109" s="101"/>
      <c r="C109" s="399">
        <f>C6</f>
        <v>0</v>
      </c>
      <c r="D109" s="400"/>
      <c r="E109" s="114"/>
      <c r="F109" s="101" t="s">
        <v>180</v>
      </c>
      <c r="G109" s="399">
        <f>G6</f>
        <v>0</v>
      </c>
      <c r="H109" s="400"/>
      <c r="K109" s="152" t="s">
        <v>2</v>
      </c>
      <c r="L109" s="152"/>
      <c r="N109" s="166" t="s">
        <v>51</v>
      </c>
    </row>
    <row r="110" spans="1:14" ht="8.25" customHeight="1">
      <c r="A110" s="24"/>
      <c r="B110" s="24"/>
      <c r="C110" s="24"/>
      <c r="D110" s="24"/>
      <c r="E110" s="114"/>
      <c r="F110" s="24"/>
      <c r="G110" s="24"/>
      <c r="H110" s="24"/>
      <c r="I110" s="24"/>
      <c r="J110" s="24"/>
      <c r="K110" s="24"/>
      <c r="L110" s="24"/>
      <c r="N110" s="27"/>
    </row>
    <row r="111" spans="1:14" ht="15.75">
      <c r="A111" s="101" t="s">
        <v>91</v>
      </c>
      <c r="B111" s="131"/>
      <c r="C111" s="399">
        <f>C8</f>
        <v>0</v>
      </c>
      <c r="D111" s="400"/>
      <c r="E111" s="114"/>
      <c r="F111" s="101" t="s">
        <v>91</v>
      </c>
      <c r="G111" s="399">
        <f>Edad_a</f>
        <v>0</v>
      </c>
      <c r="H111" s="400"/>
      <c r="J111" s="100"/>
      <c r="K111" s="413" t="s">
        <v>192</v>
      </c>
      <c r="L111" s="414"/>
      <c r="M111" s="30"/>
      <c r="N111" s="142">
        <f>N8</f>
        <v>0</v>
      </c>
    </row>
    <row r="112" spans="1:14" ht="6.75" customHeight="1">
      <c r="A112" s="24"/>
      <c r="B112" s="24"/>
      <c r="C112" s="24"/>
      <c r="D112" s="24"/>
      <c r="E112" s="114"/>
      <c r="F112" s="24"/>
      <c r="G112" s="24"/>
      <c r="H112" s="24"/>
      <c r="I112" s="24"/>
      <c r="J112" s="24"/>
      <c r="K112" s="413"/>
      <c r="L112" s="414"/>
      <c r="M112" s="30"/>
      <c r="N112" s="98"/>
    </row>
    <row r="113" spans="1:14" ht="18" customHeight="1">
      <c r="A113" s="89" t="s">
        <v>181</v>
      </c>
      <c r="B113" s="101"/>
      <c r="C113" s="399">
        <f>tiempo_actual_a</f>
        <v>0</v>
      </c>
      <c r="D113" s="400"/>
      <c r="E113" s="114"/>
      <c r="F113" s="89" t="s">
        <v>181</v>
      </c>
      <c r="G113" s="399">
        <f>G10</f>
        <v>0</v>
      </c>
      <c r="H113" s="400"/>
      <c r="J113" s="100"/>
      <c r="K113" s="413" t="s">
        <v>193</v>
      </c>
      <c r="L113" s="414"/>
      <c r="M113" s="59"/>
      <c r="N113" s="167">
        <f>N10</f>
        <v>0</v>
      </c>
    </row>
    <row r="114" spans="1:14" ht="8.25" customHeight="1">
      <c r="A114" s="24"/>
      <c r="B114" s="24"/>
      <c r="C114" s="24"/>
      <c r="D114" s="24"/>
      <c r="E114" s="114"/>
      <c r="F114" s="24"/>
      <c r="G114" s="24"/>
      <c r="H114" s="24"/>
      <c r="M114" s="24"/>
      <c r="N114" s="25"/>
    </row>
    <row r="115" spans="1:14" ht="23.25" customHeight="1">
      <c r="A115" s="58" t="s">
        <v>182</v>
      </c>
      <c r="B115" s="58"/>
      <c r="C115" s="399">
        <f>trabajo_a</f>
        <v>0</v>
      </c>
      <c r="D115" s="400"/>
      <c r="E115" s="114"/>
      <c r="F115" s="58" t="s">
        <v>182</v>
      </c>
      <c r="G115" s="399">
        <f>G12</f>
        <v>0</v>
      </c>
      <c r="H115" s="400"/>
      <c r="I115" s="415" t="s">
        <v>179</v>
      </c>
      <c r="J115" s="416"/>
      <c r="K115" s="417" t="str">
        <f>L12</f>
        <v>Elegir una opción</v>
      </c>
      <c r="L115" s="417"/>
      <c r="M115" s="418"/>
    </row>
    <row r="116" spans="1:14" ht="6.75" customHeight="1" thickBot="1">
      <c r="A116" s="24"/>
      <c r="B116" s="24"/>
      <c r="C116" s="24"/>
      <c r="D116" s="24"/>
      <c r="E116" s="114"/>
      <c r="F116" s="24"/>
      <c r="G116" s="24"/>
      <c r="H116" s="24"/>
    </row>
    <row r="117" spans="1:14" ht="19.5" customHeight="1">
      <c r="A117" s="132" t="s">
        <v>96</v>
      </c>
      <c r="B117" s="133"/>
      <c r="C117" s="399">
        <f>Cargo_a</f>
        <v>0</v>
      </c>
      <c r="D117" s="400"/>
      <c r="E117" s="114"/>
      <c r="F117" s="132" t="s">
        <v>96</v>
      </c>
      <c r="G117" s="399">
        <f>G14</f>
        <v>0</v>
      </c>
      <c r="H117" s="400"/>
      <c r="I117" s="415" t="s">
        <v>194</v>
      </c>
      <c r="J117" s="416"/>
      <c r="K117" s="409">
        <f>L14</f>
        <v>0</v>
      </c>
      <c r="L117" s="410"/>
      <c r="M117" s="411"/>
      <c r="N117" s="28"/>
    </row>
    <row r="118" spans="1:14" ht="4.5" customHeight="1">
      <c r="A118" s="24"/>
      <c r="B118" s="24"/>
      <c r="C118" s="24"/>
      <c r="D118" s="24"/>
      <c r="E118" s="114"/>
      <c r="F118" s="24"/>
      <c r="G118" s="24"/>
      <c r="H118" s="24"/>
      <c r="I118" s="24"/>
      <c r="J118" s="24"/>
      <c r="K118" s="24"/>
      <c r="L118" s="24"/>
      <c r="M118" s="24"/>
      <c r="N118" s="25"/>
    </row>
    <row r="119" spans="1:14" ht="18.75" customHeight="1">
      <c r="A119" s="101" t="s">
        <v>183</v>
      </c>
      <c r="B119" s="58"/>
      <c r="C119" s="456">
        <f>C16</f>
        <v>0</v>
      </c>
      <c r="D119" s="457"/>
      <c r="E119" s="114"/>
      <c r="F119" s="101" t="s">
        <v>183</v>
      </c>
      <c r="G119" s="399">
        <f>G16</f>
        <v>0</v>
      </c>
      <c r="H119" s="400"/>
      <c r="I119" s="451" t="s">
        <v>195</v>
      </c>
      <c r="J119" s="452"/>
      <c r="K119" s="399">
        <f>L16</f>
        <v>0</v>
      </c>
      <c r="L119" s="400"/>
      <c r="M119" s="400"/>
      <c r="N119" s="130"/>
    </row>
    <row r="120" spans="1:14" ht="6" customHeight="1">
      <c r="A120" s="24"/>
      <c r="B120" s="24"/>
      <c r="C120" s="24"/>
      <c r="D120" s="24"/>
      <c r="E120" s="114"/>
      <c r="F120" s="24"/>
      <c r="G120" s="24"/>
      <c r="H120" s="24"/>
      <c r="I120" s="24"/>
      <c r="J120" s="24"/>
      <c r="K120" s="24"/>
      <c r="L120" s="24"/>
      <c r="M120" s="24"/>
      <c r="N120" s="25"/>
    </row>
    <row r="121" spans="1:14" ht="25.5" customHeight="1">
      <c r="A121" s="101" t="s">
        <v>184</v>
      </c>
      <c r="B121" s="58"/>
      <c r="C121" s="399" t="str">
        <f>C18</f>
        <v xml:space="preserve">Objetivo </v>
      </c>
      <c r="D121" s="400"/>
      <c r="E121" s="114"/>
      <c r="F121" s="101" t="s">
        <v>184</v>
      </c>
      <c r="G121" s="399">
        <f>G18</f>
        <v>0</v>
      </c>
      <c r="H121" s="400"/>
      <c r="I121" s="144"/>
      <c r="J121" s="146" t="s">
        <v>154</v>
      </c>
      <c r="K121" s="453" t="s">
        <v>24</v>
      </c>
      <c r="L121" s="453"/>
      <c r="M121" s="453"/>
      <c r="N121" s="147" t="s">
        <v>25</v>
      </c>
    </row>
    <row r="122" spans="1:14" ht="1.5" customHeight="1">
      <c r="A122" s="24"/>
      <c r="B122" s="24"/>
      <c r="C122" s="24"/>
      <c r="D122" s="24"/>
      <c r="E122" s="114"/>
      <c r="F122" s="24"/>
      <c r="G122" s="24"/>
      <c r="H122" s="24"/>
      <c r="I122" s="145"/>
      <c r="J122" s="145"/>
      <c r="K122" s="393"/>
      <c r="L122" s="393"/>
      <c r="M122" s="412"/>
      <c r="N122" s="412"/>
    </row>
    <row r="123" spans="1:14" ht="21.75" customHeight="1">
      <c r="A123" s="89" t="s">
        <v>185</v>
      </c>
      <c r="B123" s="101"/>
      <c r="C123" s="399">
        <f>C20</f>
        <v>0</v>
      </c>
      <c r="D123" s="400"/>
      <c r="E123" s="114"/>
      <c r="F123" s="89" t="s">
        <v>185</v>
      </c>
      <c r="G123" s="399">
        <f>G22</f>
        <v>0</v>
      </c>
      <c r="H123" s="400"/>
      <c r="I123" s="144"/>
      <c r="J123" s="177">
        <f>J20</f>
        <v>10000</v>
      </c>
      <c r="K123" s="425">
        <f>K20</f>
        <v>3500</v>
      </c>
      <c r="L123" s="425"/>
      <c r="M123" s="425"/>
      <c r="N123" s="178">
        <f>N20</f>
        <v>0.35</v>
      </c>
    </row>
    <row r="124" spans="1:14" ht="9.75" customHeight="1">
      <c r="E124" s="114"/>
      <c r="G124" s="24"/>
      <c r="H124" s="24"/>
      <c r="I124" s="145"/>
      <c r="J124" s="145"/>
      <c r="K124" s="426"/>
      <c r="L124" s="426"/>
      <c r="M124" s="426"/>
      <c r="N124" s="25"/>
    </row>
    <row r="125" spans="1:14" ht="26.25" customHeight="1">
      <c r="A125" s="89" t="s">
        <v>186</v>
      </c>
      <c r="B125" s="89"/>
      <c r="C125" s="399">
        <f>C22</f>
        <v>0</v>
      </c>
      <c r="D125" s="400"/>
      <c r="E125" s="114"/>
      <c r="F125" s="89" t="s">
        <v>189</v>
      </c>
      <c r="G125" s="399">
        <f>G22</f>
        <v>0</v>
      </c>
      <c r="H125" s="400"/>
    </row>
    <row r="126" spans="1:14" ht="7.5" customHeight="1">
      <c r="A126" s="89"/>
      <c r="B126" s="89"/>
      <c r="C126" s="138"/>
      <c r="D126" s="138"/>
      <c r="E126" s="114"/>
      <c r="F126" s="138"/>
      <c r="G126" s="138"/>
      <c r="H126" s="138"/>
      <c r="I126" s="138"/>
      <c r="J126" s="138"/>
      <c r="K126" s="138"/>
      <c r="L126" s="138"/>
      <c r="M126" s="138"/>
      <c r="N126" s="138"/>
    </row>
    <row r="127" spans="1:14" ht="25.5" customHeight="1">
      <c r="A127" s="89" t="s">
        <v>187</v>
      </c>
      <c r="B127" s="89"/>
      <c r="C127" s="399">
        <f>C24</f>
        <v>0</v>
      </c>
      <c r="D127" s="400"/>
      <c r="E127" s="114"/>
      <c r="F127" s="89" t="s">
        <v>190</v>
      </c>
      <c r="G127" s="399">
        <f>G24</f>
        <v>0</v>
      </c>
      <c r="H127" s="400"/>
      <c r="I127" s="138"/>
      <c r="J127" s="138"/>
      <c r="K127" s="454" t="s">
        <v>161</v>
      </c>
      <c r="L127" s="454"/>
      <c r="M127" s="454"/>
      <c r="N127" s="150" t="s">
        <v>160</v>
      </c>
    </row>
    <row r="128" spans="1:14" ht="0.75" customHeight="1">
      <c r="A128" s="89"/>
      <c r="B128" s="89"/>
      <c r="C128" s="138"/>
      <c r="D128" s="138"/>
      <c r="E128" s="114"/>
      <c r="F128" s="89"/>
      <c r="G128" s="138"/>
      <c r="H128" s="138"/>
      <c r="I128" s="138"/>
      <c r="J128" s="138"/>
      <c r="K128" s="138"/>
      <c r="L128" s="138"/>
      <c r="M128" s="138"/>
      <c r="N128" s="138"/>
    </row>
    <row r="129" spans="1:14" ht="28.5" customHeight="1">
      <c r="A129" s="89" t="s">
        <v>188</v>
      </c>
      <c r="B129" s="89"/>
      <c r="C129" s="399">
        <f>C26</f>
        <v>0</v>
      </c>
      <c r="D129" s="400"/>
      <c r="E129" s="114"/>
      <c r="F129" s="89" t="s">
        <v>191</v>
      </c>
      <c r="G129" s="399">
        <f>G26</f>
        <v>0</v>
      </c>
      <c r="H129" s="400"/>
      <c r="I129" s="138"/>
      <c r="J129" s="138"/>
      <c r="K129" s="448" t="e">
        <f>K26</f>
        <v>#NUM!</v>
      </c>
      <c r="L129" s="449"/>
      <c r="M129" s="450"/>
      <c r="N129" s="155" t="e">
        <f>N26</f>
        <v>#NUM!</v>
      </c>
    </row>
    <row r="130" spans="1:14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</row>
    <row r="131" spans="1:14">
      <c r="A131" s="406" t="s">
        <v>156</v>
      </c>
      <c r="B131" s="406"/>
      <c r="C131" s="406"/>
      <c r="D131" s="406"/>
      <c r="E131" s="406"/>
      <c r="F131" s="406"/>
      <c r="G131" s="406"/>
      <c r="H131" s="406"/>
      <c r="I131" s="406"/>
      <c r="J131" s="406"/>
      <c r="K131" s="406"/>
      <c r="L131" s="406"/>
      <c r="M131" s="406"/>
      <c r="N131" s="406"/>
    </row>
    <row r="132" spans="1:14" ht="5.25" customHeight="1">
      <c r="A132" s="30"/>
      <c r="B132" s="30"/>
      <c r="C132" s="30"/>
      <c r="D132" s="30"/>
      <c r="E132" s="30"/>
      <c r="F132" s="30"/>
      <c r="G132" s="134"/>
      <c r="H132" s="134"/>
      <c r="I132" s="96"/>
      <c r="J132" s="96"/>
      <c r="K132" s="102"/>
      <c r="L132" s="102"/>
      <c r="M132" s="102"/>
      <c r="N132" s="143"/>
    </row>
    <row r="133" spans="1:14" ht="15.75">
      <c r="A133" s="101" t="s">
        <v>1</v>
      </c>
      <c r="B133" s="463">
        <f>B30</f>
        <v>0</v>
      </c>
      <c r="C133" s="463"/>
      <c r="D133" s="463"/>
      <c r="E133" s="463"/>
      <c r="F133" s="89" t="s">
        <v>155</v>
      </c>
      <c r="G133" s="408">
        <f>G30</f>
        <v>0</v>
      </c>
      <c r="H133" s="408"/>
      <c r="I133" s="408"/>
      <c r="J133" s="408"/>
      <c r="K133" s="102"/>
      <c r="L133" s="102"/>
      <c r="M133" s="102"/>
      <c r="N133" s="25"/>
    </row>
    <row r="134" spans="1:14" ht="9" customHeight="1">
      <c r="A134" s="89"/>
      <c r="B134" s="89"/>
      <c r="C134" s="31"/>
      <c r="D134" s="91"/>
      <c r="E134" s="32"/>
      <c r="F134" s="32"/>
      <c r="G134" s="32"/>
      <c r="N134" s="32"/>
    </row>
    <row r="135" spans="1:14">
      <c r="A135" s="406" t="s">
        <v>6</v>
      </c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6"/>
    </row>
    <row r="137" spans="1:14" ht="15.75">
      <c r="A137" s="407"/>
      <c r="B137" s="407"/>
      <c r="C137" s="34"/>
      <c r="D137" s="34"/>
      <c r="F137" s="396"/>
      <c r="G137" s="396"/>
      <c r="H137" s="396"/>
      <c r="J137" s="103"/>
      <c r="K137" s="397" t="s">
        <v>7</v>
      </c>
      <c r="L137" s="397"/>
      <c r="M137" s="397"/>
      <c r="N137" s="397"/>
    </row>
    <row r="138" spans="1:14" ht="15.75">
      <c r="A138" s="366" t="s">
        <v>157</v>
      </c>
      <c r="B138" s="367"/>
      <c r="C138" s="377">
        <f>valor_auto/1.07</f>
        <v>0</v>
      </c>
      <c r="D138" s="378"/>
      <c r="F138" s="386" t="s">
        <v>18</v>
      </c>
      <c r="G138" s="387"/>
      <c r="H138" s="377">
        <f>Cotización!E44</f>
        <v>0</v>
      </c>
      <c r="I138" s="378"/>
      <c r="J138" s="103"/>
      <c r="K138" s="105" t="s">
        <v>8</v>
      </c>
      <c r="L138" s="388" t="s">
        <v>9</v>
      </c>
      <c r="M138" s="389"/>
      <c r="N138" s="103"/>
    </row>
    <row r="139" spans="1:14" ht="2.25" customHeight="1">
      <c r="A139" s="118"/>
      <c r="B139" s="118"/>
      <c r="C139" s="118"/>
      <c r="D139" s="118"/>
      <c r="E139" s="118"/>
      <c r="F139" s="118"/>
      <c r="G139" s="118"/>
      <c r="H139" s="118"/>
      <c r="I139" s="118"/>
      <c r="J139" s="439"/>
      <c r="K139" s="439"/>
      <c r="L139" s="439"/>
      <c r="M139" s="439"/>
      <c r="N139" s="439"/>
    </row>
    <row r="140" spans="1:14" ht="15.75">
      <c r="A140" s="366" t="s">
        <v>19</v>
      </c>
      <c r="B140" s="367"/>
      <c r="C140" s="377">
        <f>C138*0.07</f>
        <v>0</v>
      </c>
      <c r="D140" s="378"/>
      <c r="F140" s="390"/>
      <c r="G140" s="391"/>
      <c r="H140" s="392"/>
      <c r="I140" s="393"/>
      <c r="J140" s="103"/>
      <c r="K140" s="106">
        <v>0</v>
      </c>
      <c r="L140" s="394">
        <v>0.16</v>
      </c>
      <c r="M140" s="395"/>
      <c r="N140" s="103"/>
    </row>
    <row r="141" spans="1:14" ht="2.25" customHeight="1">
      <c r="A141" s="125"/>
      <c r="B141" s="125"/>
      <c r="C141" s="362"/>
      <c r="D141" s="362"/>
      <c r="E141" s="362"/>
      <c r="F141" s="362"/>
      <c r="G141" s="376"/>
      <c r="H141" s="376"/>
      <c r="I141" s="120"/>
      <c r="J141" s="363"/>
      <c r="K141" s="363"/>
      <c r="L141" s="363"/>
      <c r="M141" s="363"/>
      <c r="N141" s="363"/>
    </row>
    <row r="142" spans="1:14" ht="15.75">
      <c r="A142" s="366" t="s">
        <v>20</v>
      </c>
      <c r="B142" s="367"/>
      <c r="C142" s="432">
        <f>C138+C140</f>
        <v>0</v>
      </c>
      <c r="D142" s="433"/>
      <c r="F142" s="366" t="s">
        <v>13</v>
      </c>
      <c r="G142" s="367"/>
      <c r="H142" s="364" t="e">
        <f>-PMT($C$52/12,$C$54,$C$60)+IF($M$58=1,(($C$52*($C$60/360)*30*INT($C$54/12))/$C$54),0)</f>
        <v>#NUM!</v>
      </c>
      <c r="I142" s="365"/>
      <c r="J142" s="109"/>
      <c r="K142" s="106">
        <v>30</v>
      </c>
      <c r="L142" s="394">
        <v>0.26</v>
      </c>
      <c r="M142" s="395"/>
      <c r="N142" s="103"/>
    </row>
    <row r="143" spans="1:14" ht="3" customHeight="1" thickBot="1">
      <c r="A143" s="125"/>
      <c r="B143" s="125"/>
      <c r="C143" s="362"/>
      <c r="D143" s="362"/>
      <c r="E143" s="362"/>
      <c r="F143" s="362"/>
      <c r="G143" s="376"/>
      <c r="H143" s="376"/>
      <c r="I143" s="120"/>
      <c r="J143" s="363"/>
      <c r="K143" s="363"/>
      <c r="L143" s="363"/>
      <c r="M143" s="363"/>
      <c r="N143" s="363"/>
    </row>
    <row r="144" spans="1:14" ht="15.75">
      <c r="A144" s="366" t="s">
        <v>196</v>
      </c>
      <c r="B144" s="367"/>
      <c r="C144" s="435">
        <f>abono</f>
        <v>0</v>
      </c>
      <c r="D144" s="436"/>
      <c r="F144" s="366" t="s">
        <v>5</v>
      </c>
      <c r="G144" s="367"/>
      <c r="H144" s="445" t="str">
        <f>pago_elige</f>
        <v>Cargo a cuenta</v>
      </c>
      <c r="I144" s="446"/>
      <c r="J144" s="103"/>
      <c r="K144" s="106">
        <v>40</v>
      </c>
      <c r="L144" s="394">
        <v>0.32</v>
      </c>
      <c r="M144" s="395"/>
      <c r="N144" s="103"/>
    </row>
    <row r="145" spans="1:14" ht="2.25" customHeight="1" thickBot="1">
      <c r="A145" s="125"/>
      <c r="B145" s="125"/>
      <c r="C145" s="440"/>
      <c r="D145" s="440"/>
      <c r="E145" s="117"/>
      <c r="F145" s="117"/>
      <c r="G145" s="123"/>
      <c r="H145" s="123"/>
      <c r="I145" s="120"/>
      <c r="J145" s="363"/>
      <c r="K145" s="363"/>
      <c r="L145" s="363"/>
      <c r="M145" s="363"/>
      <c r="N145" s="363"/>
    </row>
    <row r="146" spans="1:14" ht="15.75" customHeight="1">
      <c r="A146" s="366" t="s">
        <v>115</v>
      </c>
      <c r="B146" s="367"/>
      <c r="C146" s="441" t="e">
        <f>C144/C142</f>
        <v>#DIV/0!</v>
      </c>
      <c r="D146" s="442"/>
      <c r="E146" s="173"/>
      <c r="F146" s="366" t="s">
        <v>150</v>
      </c>
      <c r="G146" s="434"/>
      <c r="H146" s="445" t="str">
        <f>póliza</f>
        <v>Elegir</v>
      </c>
      <c r="I146" s="446"/>
      <c r="J146" s="109"/>
      <c r="K146" s="106">
        <v>45</v>
      </c>
      <c r="L146" s="394">
        <v>0.32</v>
      </c>
      <c r="M146" s="395"/>
      <c r="N146" s="103"/>
    </row>
    <row r="147" spans="1:14" ht="1.5" customHeight="1">
      <c r="A147" s="125"/>
      <c r="B147" s="125"/>
      <c r="C147" s="362"/>
      <c r="D147" s="362"/>
      <c r="E147" s="173"/>
      <c r="F147" s="173"/>
      <c r="G147" s="173"/>
      <c r="H147" s="173"/>
      <c r="I147" s="173"/>
      <c r="J147" s="363"/>
      <c r="K147" s="363"/>
      <c r="L147" s="363"/>
      <c r="M147" s="363"/>
      <c r="N147" s="363"/>
    </row>
    <row r="148" spans="1:14" ht="15.75">
      <c r="A148" s="366" t="s">
        <v>197</v>
      </c>
      <c r="B148" s="434"/>
      <c r="C148" s="364">
        <f>C142-C144</f>
        <v>0</v>
      </c>
      <c r="D148" s="365"/>
      <c r="E148" s="173"/>
      <c r="F148" s="366" t="s">
        <v>175</v>
      </c>
      <c r="G148" s="434"/>
      <c r="H148" s="443"/>
      <c r="I148" s="444"/>
      <c r="J148" s="103"/>
      <c r="K148" s="106">
        <v>50</v>
      </c>
      <c r="L148" s="394">
        <v>0.32</v>
      </c>
      <c r="M148" s="395"/>
      <c r="N148" s="103"/>
    </row>
    <row r="149" spans="1:14" ht="3" customHeight="1" thickBot="1">
      <c r="A149" s="125"/>
      <c r="B149" s="125"/>
      <c r="C149" s="362"/>
      <c r="D149" s="362"/>
      <c r="E149" s="173"/>
      <c r="F149" s="173"/>
      <c r="G149" s="173"/>
      <c r="H149" s="173"/>
      <c r="I149" s="173"/>
      <c r="J149" s="363"/>
      <c r="K149" s="363"/>
      <c r="L149" s="363"/>
      <c r="M149" s="363"/>
      <c r="N149" s="363"/>
    </row>
    <row r="150" spans="1:14" ht="15.75">
      <c r="A150" s="366" t="s">
        <v>11</v>
      </c>
      <c r="B150" s="367"/>
      <c r="C150" s="379">
        <f>tasa2</f>
        <v>0</v>
      </c>
      <c r="D150" s="380"/>
      <c r="E150" s="173"/>
      <c r="F150" s="366" t="s">
        <v>176</v>
      </c>
      <c r="G150" s="434"/>
      <c r="H150" s="445" t="str">
        <f>póliza</f>
        <v>Elegir</v>
      </c>
      <c r="I150" s="446"/>
      <c r="J150" s="103"/>
      <c r="K150" s="106">
        <v>55</v>
      </c>
      <c r="L150" s="394">
        <v>0.32</v>
      </c>
      <c r="M150" s="395"/>
      <c r="N150" s="103"/>
    </row>
    <row r="151" spans="1:14" ht="3.75" customHeight="1">
      <c r="A151" s="125"/>
      <c r="B151" s="125"/>
      <c r="C151" s="362"/>
      <c r="D151" s="362"/>
      <c r="E151" s="173"/>
      <c r="F151" s="173"/>
      <c r="G151" s="173"/>
      <c r="H151" s="173"/>
      <c r="I151" s="173"/>
      <c r="J151" s="363"/>
      <c r="K151" s="363"/>
      <c r="L151" s="363"/>
      <c r="M151" s="363"/>
      <c r="N151" s="363"/>
    </row>
    <row r="152" spans="1:14" ht="15.75">
      <c r="A152" s="366" t="s">
        <v>12</v>
      </c>
      <c r="B152" s="367"/>
      <c r="C152" s="379">
        <f>IF(C138&gt;5000,1,0)/100</f>
        <v>0</v>
      </c>
      <c r="D152" s="380"/>
      <c r="E152" s="173"/>
      <c r="F152" s="366" t="s">
        <v>175</v>
      </c>
      <c r="G152" s="434"/>
      <c r="H152" s="443"/>
      <c r="I152" s="444"/>
      <c r="J152" s="103"/>
      <c r="K152" s="106">
        <v>61</v>
      </c>
      <c r="L152" s="394">
        <v>0.74</v>
      </c>
      <c r="M152" s="395"/>
      <c r="N152" s="103"/>
    </row>
    <row r="153" spans="1:14" ht="3.75" customHeight="1">
      <c r="A153" s="125"/>
      <c r="B153" s="125"/>
      <c r="C153" s="362"/>
      <c r="D153" s="362"/>
      <c r="E153" s="173"/>
      <c r="F153" s="173"/>
      <c r="G153" s="173"/>
      <c r="H153" s="173"/>
      <c r="I153" s="173"/>
      <c r="J153" s="363"/>
      <c r="K153" s="363"/>
      <c r="L153" s="363"/>
      <c r="M153" s="363"/>
      <c r="N153" s="363"/>
    </row>
    <row r="154" spans="1:14" ht="15.75" customHeight="1">
      <c r="A154" s="366" t="s">
        <v>10</v>
      </c>
      <c r="B154" s="367"/>
      <c r="C154" s="437">
        <f>C150+C152</f>
        <v>0</v>
      </c>
      <c r="D154" s="438"/>
      <c r="E154" s="173"/>
      <c r="F154" s="173"/>
      <c r="G154" s="173"/>
      <c r="H154" s="173"/>
      <c r="I154" s="173"/>
      <c r="J154" s="103"/>
      <c r="K154" s="106">
        <v>66</v>
      </c>
      <c r="L154" s="394">
        <v>1.05</v>
      </c>
      <c r="M154" s="395"/>
      <c r="N154" s="103"/>
    </row>
    <row r="155" spans="1:14" ht="1.5" customHeight="1">
      <c r="A155" s="125"/>
      <c r="B155" s="125"/>
      <c r="C155" s="119"/>
      <c r="D155" s="119"/>
      <c r="E155" s="119"/>
      <c r="F155" s="119"/>
      <c r="G155" s="121"/>
      <c r="H155" s="121"/>
      <c r="I155" s="120"/>
      <c r="J155" s="122"/>
      <c r="K155" s="122"/>
      <c r="L155" s="245"/>
      <c r="M155" s="245"/>
      <c r="N155" s="245"/>
    </row>
    <row r="156" spans="1:14" ht="15.75" customHeight="1">
      <c r="A156" s="366" t="s">
        <v>79</v>
      </c>
      <c r="B156" s="367"/>
      <c r="C156" s="381">
        <f>plazo_auto</f>
        <v>0</v>
      </c>
      <c r="D156" s="382"/>
      <c r="F156" s="368" t="s">
        <v>75</v>
      </c>
      <c r="G156" s="369"/>
      <c r="H156" s="370">
        <f>C158/1.05</f>
        <v>0</v>
      </c>
      <c r="I156" s="371"/>
      <c r="J156" s="103"/>
      <c r="K156" s="106">
        <v>100</v>
      </c>
      <c r="L156" s="394">
        <v>1.05</v>
      </c>
      <c r="M156" s="395"/>
      <c r="N156" s="103"/>
    </row>
    <row r="157" spans="1:14" ht="3.75" customHeight="1">
      <c r="A157" s="125"/>
      <c r="B157" s="125"/>
      <c r="C157" s="119"/>
      <c r="D157" s="119"/>
      <c r="E157" s="119"/>
      <c r="F157" s="119"/>
      <c r="G157" s="121"/>
      <c r="H157" s="121"/>
      <c r="I157" s="120"/>
      <c r="J157" s="122"/>
      <c r="K157" s="122"/>
      <c r="L157" s="122"/>
      <c r="M157" s="122"/>
      <c r="N157" s="122"/>
    </row>
    <row r="158" spans="1:14" ht="15.75" customHeight="1">
      <c r="A158" s="366" t="s">
        <v>112</v>
      </c>
      <c r="B158" s="367"/>
      <c r="C158" s="377">
        <f>+Cotización!E46</f>
        <v>0</v>
      </c>
      <c r="D158" s="378"/>
      <c r="F158" s="368" t="s">
        <v>76</v>
      </c>
      <c r="G158" s="369"/>
      <c r="H158" s="370">
        <f>(C158/1.05)*5%</f>
        <v>0</v>
      </c>
      <c r="I158" s="371"/>
      <c r="J158" s="103"/>
      <c r="K158" s="372" t="s">
        <v>129</v>
      </c>
      <c r="L158" s="373"/>
      <c r="M158" s="374">
        <f>IF(póliza="Otras Aseg.", 2, IF(póliza="Elegir", 0, 1))</f>
        <v>0</v>
      </c>
      <c r="N158" s="375"/>
    </row>
    <row r="159" spans="1:14" ht="3.75" customHeight="1">
      <c r="A159" s="125"/>
      <c r="B159" s="125"/>
      <c r="C159" s="362"/>
      <c r="D159" s="362"/>
      <c r="E159" s="362"/>
      <c r="F159" s="362"/>
      <c r="G159" s="376"/>
      <c r="H159" s="376"/>
      <c r="I159" s="120"/>
      <c r="J159" s="363"/>
      <c r="K159" s="363"/>
      <c r="L159" s="363"/>
      <c r="M159" s="363"/>
      <c r="N159" s="363"/>
    </row>
    <row r="160" spans="1:14" ht="15.75" customHeight="1">
      <c r="A160" s="366" t="s">
        <v>113</v>
      </c>
      <c r="B160" s="367"/>
      <c r="C160" s="377">
        <f>+Cotización!E157</f>
        <v>0</v>
      </c>
      <c r="D160" s="378"/>
      <c r="E160" s="51"/>
      <c r="F160" s="368" t="s">
        <v>130</v>
      </c>
      <c r="G160" s="369"/>
      <c r="H160" s="370">
        <f>C160/1.05</f>
        <v>0</v>
      </c>
      <c r="I160" s="371"/>
      <c r="J160" s="111"/>
      <c r="K160" s="372" t="s">
        <v>114</v>
      </c>
      <c r="L160" s="373"/>
      <c r="M160" s="430">
        <f>IF(pago_elige="Descuento directo", 1, IF(pago_elige="Cargo a cuenta", 2, IF(pago_elige="Pago voluntario", 3, 0)))</f>
        <v>2</v>
      </c>
      <c r="N160" s="431"/>
    </row>
    <row r="161" spans="1:14" ht="2.25" customHeight="1">
      <c r="A161" s="125"/>
      <c r="B161" s="125"/>
      <c r="C161" s="362"/>
      <c r="D161" s="362"/>
      <c r="E161" s="362"/>
      <c r="F161" s="362"/>
      <c r="G161" s="376"/>
      <c r="H161" s="376"/>
      <c r="I161" s="120"/>
      <c r="J161" s="363"/>
      <c r="K161" s="363"/>
      <c r="L161" s="363"/>
      <c r="M161" s="363"/>
      <c r="N161" s="363"/>
    </row>
    <row r="162" spans="1:14" ht="15.75">
      <c r="A162" s="366" t="s">
        <v>21</v>
      </c>
      <c r="B162" s="367"/>
      <c r="C162" s="364">
        <f>IF(recargo_a=0,(C148+H138+H140+C158),(C148+H138+H140+C160))</f>
        <v>0</v>
      </c>
      <c r="D162" s="365"/>
      <c r="E162" s="40"/>
      <c r="F162" s="368" t="s">
        <v>76</v>
      </c>
      <c r="G162" s="369"/>
      <c r="H162" s="370">
        <f>(C160/1.05)*5%</f>
        <v>0</v>
      </c>
      <c r="I162" s="371"/>
      <c r="J162" s="112"/>
      <c r="K162" s="372" t="s">
        <v>116</v>
      </c>
      <c r="L162" s="373"/>
      <c r="M162" s="374">
        <f>IF(seguro_selec="Otras Aseg.", 2, IF(seguro_selec="Elegir", 0, 1))</f>
        <v>0</v>
      </c>
      <c r="N162" s="375"/>
    </row>
    <row r="163" spans="1:14" ht="15.75">
      <c r="A163" s="125"/>
      <c r="B163" s="125"/>
      <c r="C163" s="128"/>
      <c r="D163" s="128"/>
      <c r="E163" s="117"/>
      <c r="F163" s="117"/>
      <c r="G163" s="126"/>
      <c r="H163" s="126"/>
      <c r="I163" s="120"/>
      <c r="J163" s="124"/>
      <c r="K163" s="124"/>
      <c r="L163" s="127"/>
      <c r="M163" s="127"/>
      <c r="N163" s="127"/>
    </row>
    <row r="164" spans="1:14" s="113" customFormat="1">
      <c r="A164" s="447" t="s">
        <v>158</v>
      </c>
      <c r="B164" s="447"/>
      <c r="C164" s="447"/>
      <c r="D164" s="447"/>
      <c r="E164" s="447"/>
      <c r="F164" s="447"/>
      <c r="G164" s="447"/>
      <c r="H164" s="447"/>
      <c r="I164" s="447"/>
      <c r="J164" s="447"/>
      <c r="K164" s="447"/>
      <c r="L164" s="447"/>
      <c r="M164" s="447"/>
      <c r="N164" s="447"/>
    </row>
    <row r="165" spans="1:14" s="113" customFormat="1">
      <c r="A165" s="383" t="s">
        <v>14</v>
      </c>
      <c r="B165" s="384"/>
      <c r="C165" s="384"/>
      <c r="D165" s="385"/>
      <c r="E165" s="383" t="s">
        <v>159</v>
      </c>
      <c r="F165" s="384"/>
      <c r="G165" s="384"/>
      <c r="H165" s="384"/>
      <c r="I165" s="385"/>
      <c r="J165" s="360" t="s">
        <v>151</v>
      </c>
      <c r="K165" s="361"/>
      <c r="L165" s="341" t="s">
        <v>13</v>
      </c>
      <c r="M165" s="342"/>
      <c r="N165" s="342"/>
    </row>
    <row r="166" spans="1:14" s="113" customFormat="1">
      <c r="A166" s="354">
        <f>A64</f>
        <v>0</v>
      </c>
      <c r="B166" s="354"/>
      <c r="C166" s="354"/>
      <c r="D166" s="355"/>
      <c r="E166" s="356">
        <f>E64</f>
        <v>0</v>
      </c>
      <c r="F166" s="357"/>
      <c r="G166" s="357"/>
      <c r="H166" s="357"/>
      <c r="I166" s="358"/>
      <c r="J166" s="352">
        <f>J64</f>
        <v>0</v>
      </c>
      <c r="K166" s="353"/>
      <c r="L166" s="343">
        <f>L64</f>
        <v>0</v>
      </c>
      <c r="M166" s="344"/>
      <c r="N166" s="344"/>
    </row>
    <row r="167" spans="1:14" s="113" customFormat="1">
      <c r="A167" s="354">
        <f t="shared" ref="A167:A175" si="0">A65</f>
        <v>0</v>
      </c>
      <c r="B167" s="354"/>
      <c r="C167" s="354"/>
      <c r="D167" s="355"/>
      <c r="E167" s="356">
        <f t="shared" ref="E167:E175" si="1">E65</f>
        <v>0</v>
      </c>
      <c r="F167" s="357"/>
      <c r="G167" s="357"/>
      <c r="H167" s="357"/>
      <c r="I167" s="358"/>
      <c r="J167" s="352">
        <f t="shared" ref="J167:J175" si="2">J65</f>
        <v>0</v>
      </c>
      <c r="K167" s="353"/>
      <c r="L167" s="343">
        <f t="shared" ref="L167:L175" si="3">L65</f>
        <v>0</v>
      </c>
      <c r="M167" s="344"/>
      <c r="N167" s="344"/>
    </row>
    <row r="168" spans="1:14" s="113" customFormat="1">
      <c r="A168" s="354">
        <f t="shared" si="0"/>
        <v>0</v>
      </c>
      <c r="B168" s="354"/>
      <c r="C168" s="354"/>
      <c r="D168" s="355"/>
      <c r="E168" s="356">
        <f t="shared" si="1"/>
        <v>0</v>
      </c>
      <c r="F168" s="357"/>
      <c r="G168" s="357"/>
      <c r="H168" s="357"/>
      <c r="I168" s="358"/>
      <c r="J168" s="352">
        <f t="shared" si="2"/>
        <v>0</v>
      </c>
      <c r="K168" s="353"/>
      <c r="L168" s="343">
        <f t="shared" si="3"/>
        <v>0</v>
      </c>
      <c r="M168" s="344"/>
      <c r="N168" s="344"/>
    </row>
    <row r="169" spans="1:14" s="113" customFormat="1">
      <c r="A169" s="354">
        <f t="shared" si="0"/>
        <v>0</v>
      </c>
      <c r="B169" s="354"/>
      <c r="C169" s="354"/>
      <c r="D169" s="355"/>
      <c r="E169" s="356">
        <f t="shared" si="1"/>
        <v>0</v>
      </c>
      <c r="F169" s="357"/>
      <c r="G169" s="357"/>
      <c r="H169" s="357"/>
      <c r="I169" s="358"/>
      <c r="J169" s="352">
        <f t="shared" si="2"/>
        <v>0</v>
      </c>
      <c r="K169" s="353"/>
      <c r="L169" s="343">
        <f t="shared" si="3"/>
        <v>0</v>
      </c>
      <c r="M169" s="344"/>
      <c r="N169" s="344"/>
    </row>
    <row r="170" spans="1:14" s="113" customFormat="1">
      <c r="A170" s="354">
        <f t="shared" si="0"/>
        <v>0</v>
      </c>
      <c r="B170" s="354"/>
      <c r="C170" s="354"/>
      <c r="D170" s="355"/>
      <c r="E170" s="356">
        <f t="shared" si="1"/>
        <v>0</v>
      </c>
      <c r="F170" s="357"/>
      <c r="G170" s="357"/>
      <c r="H170" s="357"/>
      <c r="I170" s="358"/>
      <c r="J170" s="352">
        <f t="shared" si="2"/>
        <v>0</v>
      </c>
      <c r="K170" s="353"/>
      <c r="L170" s="343">
        <f t="shared" si="3"/>
        <v>0</v>
      </c>
      <c r="M170" s="344"/>
      <c r="N170" s="344"/>
    </row>
    <row r="171" spans="1:14" s="113" customFormat="1">
      <c r="A171" s="354">
        <f t="shared" si="0"/>
        <v>0</v>
      </c>
      <c r="B171" s="354"/>
      <c r="C171" s="354"/>
      <c r="D171" s="355"/>
      <c r="E171" s="356">
        <f t="shared" si="1"/>
        <v>0</v>
      </c>
      <c r="F171" s="357"/>
      <c r="G171" s="357"/>
      <c r="H171" s="357"/>
      <c r="I171" s="358"/>
      <c r="J171" s="352">
        <f t="shared" si="2"/>
        <v>0</v>
      </c>
      <c r="K171" s="353"/>
      <c r="L171" s="343">
        <f t="shared" si="3"/>
        <v>0</v>
      </c>
      <c r="M171" s="344"/>
      <c r="N171" s="344"/>
    </row>
    <row r="172" spans="1:14" s="113" customFormat="1">
      <c r="A172" s="354">
        <f t="shared" si="0"/>
        <v>0</v>
      </c>
      <c r="B172" s="354"/>
      <c r="C172" s="354"/>
      <c r="D172" s="355"/>
      <c r="E172" s="356">
        <f t="shared" si="1"/>
        <v>0</v>
      </c>
      <c r="F172" s="357"/>
      <c r="G172" s="357"/>
      <c r="H172" s="357"/>
      <c r="I172" s="358"/>
      <c r="J172" s="352">
        <f t="shared" si="2"/>
        <v>0</v>
      </c>
      <c r="K172" s="353"/>
      <c r="L172" s="343">
        <f t="shared" si="3"/>
        <v>0</v>
      </c>
      <c r="M172" s="344"/>
      <c r="N172" s="344"/>
    </row>
    <row r="173" spans="1:14" s="113" customFormat="1">
      <c r="A173" s="354">
        <f t="shared" si="0"/>
        <v>0</v>
      </c>
      <c r="B173" s="354"/>
      <c r="C173" s="354"/>
      <c r="D173" s="355"/>
      <c r="E173" s="356">
        <f t="shared" si="1"/>
        <v>0</v>
      </c>
      <c r="F173" s="357"/>
      <c r="G173" s="357"/>
      <c r="H173" s="357"/>
      <c r="I173" s="358"/>
      <c r="J173" s="352">
        <f t="shared" si="2"/>
        <v>0</v>
      </c>
      <c r="K173" s="353"/>
      <c r="L173" s="343">
        <f t="shared" si="3"/>
        <v>0</v>
      </c>
      <c r="M173" s="344"/>
      <c r="N173" s="344"/>
    </row>
    <row r="174" spans="1:14" s="113" customFormat="1">
      <c r="A174" s="354">
        <f t="shared" si="0"/>
        <v>0</v>
      </c>
      <c r="B174" s="354"/>
      <c r="C174" s="354"/>
      <c r="D174" s="355"/>
      <c r="E174" s="356">
        <f t="shared" si="1"/>
        <v>0</v>
      </c>
      <c r="F174" s="357"/>
      <c r="G174" s="357"/>
      <c r="H174" s="357"/>
      <c r="I174" s="358"/>
      <c r="J174" s="352">
        <f t="shared" si="2"/>
        <v>0</v>
      </c>
      <c r="K174" s="353"/>
      <c r="L174" s="343">
        <f t="shared" si="3"/>
        <v>0</v>
      </c>
      <c r="M174" s="344"/>
      <c r="N174" s="344"/>
    </row>
    <row r="175" spans="1:14" s="113" customFormat="1">
      <c r="A175" s="354">
        <f t="shared" si="0"/>
        <v>0</v>
      </c>
      <c r="B175" s="354"/>
      <c r="C175" s="354"/>
      <c r="D175" s="355"/>
      <c r="E175" s="356">
        <f t="shared" si="1"/>
        <v>0</v>
      </c>
      <c r="F175" s="357"/>
      <c r="G175" s="357"/>
      <c r="H175" s="357"/>
      <c r="I175" s="358"/>
      <c r="J175" s="352">
        <f t="shared" si="2"/>
        <v>0</v>
      </c>
      <c r="K175" s="353"/>
      <c r="L175" s="343">
        <f t="shared" si="3"/>
        <v>0</v>
      </c>
      <c r="M175" s="344"/>
      <c r="N175" s="344"/>
    </row>
    <row r="176" spans="1:14" s="113" customFormat="1">
      <c r="A176" s="163" t="s">
        <v>162</v>
      </c>
      <c r="B176" s="163"/>
      <c r="C176" s="163"/>
      <c r="D176" s="115"/>
      <c r="E176" s="115"/>
      <c r="F176" s="115"/>
      <c r="G176" s="115"/>
      <c r="H176" s="115"/>
      <c r="I176" s="116" t="s">
        <v>15</v>
      </c>
      <c r="J176" s="344">
        <f>SUM(J166:K175)</f>
        <v>0</v>
      </c>
      <c r="K176" s="359"/>
      <c r="L176" s="343">
        <f>SUM(L166:N175)</f>
        <v>0</v>
      </c>
      <c r="M176" s="344"/>
      <c r="N176" s="344"/>
    </row>
    <row r="177" spans="1:14" s="113" customFormat="1">
      <c r="A177" s="163"/>
      <c r="B177" s="163"/>
      <c r="C177" s="163"/>
      <c r="D177" s="115"/>
      <c r="E177" s="115"/>
      <c r="F177" s="115"/>
      <c r="G177" s="115"/>
      <c r="H177" s="115"/>
      <c r="I177" s="116"/>
      <c r="J177" s="151"/>
      <c r="K177" s="151"/>
      <c r="L177" s="151"/>
      <c r="M177" s="151"/>
      <c r="N177" s="151"/>
    </row>
    <row r="178" spans="1:14" s="113" customFormat="1">
      <c r="A178" s="163" t="s">
        <v>163</v>
      </c>
      <c r="B178" s="163"/>
      <c r="C178" s="163"/>
      <c r="D178" s="153">
        <f>D76</f>
        <v>0</v>
      </c>
      <c r="E178" s="115"/>
      <c r="F178" s="115"/>
      <c r="G178" s="115"/>
      <c r="H178" s="115"/>
      <c r="I178" s="116"/>
      <c r="J178" s="151"/>
      <c r="K178" s="151"/>
      <c r="L178" s="151"/>
      <c r="M178" s="151"/>
      <c r="N178" s="151"/>
    </row>
    <row r="179" spans="1:14" s="113" customFormat="1">
      <c r="A179" s="163" t="s">
        <v>164</v>
      </c>
      <c r="B179" s="163"/>
      <c r="C179" s="163"/>
      <c r="D179" s="153" t="e">
        <f>D77</f>
        <v>#NUM!</v>
      </c>
      <c r="E179" s="115"/>
      <c r="F179" s="345" t="s">
        <v>165</v>
      </c>
      <c r="G179" s="345"/>
      <c r="H179" s="115"/>
      <c r="I179" s="345" t="s">
        <v>200</v>
      </c>
      <c r="J179" s="345"/>
      <c r="K179" s="345"/>
      <c r="L179" s="151"/>
      <c r="M179" s="151"/>
      <c r="N179" s="151"/>
    </row>
    <row r="180" spans="1:14" s="113" customFormat="1">
      <c r="A180" s="163" t="s">
        <v>198</v>
      </c>
      <c r="B180" s="163"/>
      <c r="C180" s="163"/>
      <c r="D180" s="154" t="e">
        <f>D78</f>
        <v>#NUM!</v>
      </c>
      <c r="E180" s="115"/>
      <c r="F180" s="346" t="e">
        <f>F78</f>
        <v>#NUM!</v>
      </c>
      <c r="G180" s="346"/>
      <c r="H180" s="115"/>
      <c r="I180" s="346" t="e">
        <f>I78</f>
        <v>#NUM!</v>
      </c>
      <c r="J180" s="346"/>
      <c r="K180" s="346"/>
      <c r="L180" s="151"/>
      <c r="M180" s="151"/>
      <c r="N180" s="151"/>
    </row>
    <row r="181" spans="1:14" s="113" customFormat="1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</row>
    <row r="182" spans="1:14" s="113" customFormat="1" ht="15.75">
      <c r="A182" s="157" t="s">
        <v>111</v>
      </c>
      <c r="B182" s="347" t="s">
        <v>166</v>
      </c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8"/>
    </row>
    <row r="183" spans="1:14" s="113" customFormat="1" ht="15.75">
      <c r="A183" s="176"/>
      <c r="B183" s="349"/>
      <c r="C183" s="35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1"/>
    </row>
    <row r="184" spans="1:14" s="113" customFormat="1" ht="15.75">
      <c r="A184" s="176"/>
      <c r="B184" s="349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1"/>
    </row>
    <row r="185" spans="1:14" s="113" customFormat="1" ht="15.75">
      <c r="A185" s="176"/>
      <c r="B185" s="349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1"/>
    </row>
    <row r="186" spans="1:14" s="113" customFormat="1" ht="15.75">
      <c r="A186" s="176"/>
      <c r="B186" s="349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1"/>
    </row>
    <row r="187" spans="1:14" s="113" customFormat="1" ht="15.75">
      <c r="A187" s="176"/>
      <c r="B187" s="349"/>
      <c r="C187" s="35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1"/>
    </row>
    <row r="188" spans="1:14" s="113" customFormat="1" ht="15.75">
      <c r="A188" s="176"/>
      <c r="B188" s="349"/>
      <c r="C188" s="35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1"/>
    </row>
    <row r="189" spans="1:14" s="113" customFormat="1" ht="15.75">
      <c r="A189" s="180"/>
      <c r="B189" s="338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40"/>
    </row>
    <row r="190" spans="1:14" s="113" customFormat="1" ht="15.75">
      <c r="A190" s="176"/>
      <c r="B190" s="349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1"/>
    </row>
    <row r="191" spans="1:14" s="113" customFormat="1" ht="15.75">
      <c r="A191" s="176"/>
      <c r="B191" s="349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1"/>
    </row>
    <row r="192" spans="1:14" s="113" customFormat="1" ht="15.75">
      <c r="A192" s="176"/>
      <c r="B192" s="349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1"/>
    </row>
    <row r="193" spans="1:14" s="113" customFormat="1" ht="15.75">
      <c r="A193" s="176"/>
      <c r="B193" s="349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1"/>
    </row>
    <row r="194" spans="1:14" s="113" customFormat="1" ht="20.25" customHeight="1">
      <c r="A194" s="176"/>
      <c r="B194" s="349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1"/>
    </row>
    <row r="195" spans="1:14" s="113" customFormat="1" ht="15.75">
      <c r="A195" s="176"/>
      <c r="B195" s="349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1"/>
    </row>
    <row r="196" spans="1:14" s="113" customFormat="1" ht="15.75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</row>
    <row r="197" spans="1:14" s="113" customFormat="1" ht="15.75">
      <c r="A197" s="413" t="s">
        <v>170</v>
      </c>
      <c r="B197" s="413"/>
      <c r="C197" s="399">
        <f>C95</f>
        <v>0</v>
      </c>
      <c r="D197" s="400"/>
      <c r="E197" s="156"/>
      <c r="F197" s="159" t="s">
        <v>171</v>
      </c>
      <c r="G197" s="399"/>
      <c r="H197" s="400"/>
      <c r="I197" s="22"/>
      <c r="J197" s="101" t="s">
        <v>111</v>
      </c>
      <c r="K197" s="401">
        <f>K95</f>
        <v>0</v>
      </c>
      <c r="L197" s="400"/>
      <c r="M197" s="156"/>
      <c r="N197" s="156"/>
    </row>
    <row r="198" spans="1:14" s="113" customFormat="1" ht="15.75">
      <c r="A198" s="89"/>
      <c r="B198" s="89"/>
      <c r="C198" s="161"/>
      <c r="D198" s="162"/>
      <c r="E198" s="156"/>
      <c r="F198" s="159"/>
      <c r="G198" s="161"/>
      <c r="H198" s="162"/>
      <c r="I198" s="22"/>
      <c r="J198" s="101"/>
      <c r="K198" s="161"/>
      <c r="L198" s="162"/>
      <c r="M198" s="156"/>
      <c r="N198" s="156"/>
    </row>
    <row r="199" spans="1:14" s="113" customFormat="1" ht="15.75">
      <c r="A199" s="413" t="s">
        <v>172</v>
      </c>
      <c r="B199" s="413"/>
      <c r="C199" s="465" t="str">
        <f>C97</f>
        <v>Ana E. Boyd</v>
      </c>
      <c r="D199" s="403"/>
      <c r="E199" s="156"/>
      <c r="F199" s="160" t="s">
        <v>173</v>
      </c>
      <c r="G199" s="465"/>
      <c r="H199" s="403"/>
      <c r="I199" s="22"/>
      <c r="J199" s="101" t="s">
        <v>111</v>
      </c>
      <c r="K199" s="402"/>
      <c r="L199" s="403"/>
      <c r="M199" s="156"/>
      <c r="N199" s="156"/>
    </row>
    <row r="200" spans="1:14" s="113" customFormat="1" ht="15.75">
      <c r="A200" s="156" t="s">
        <v>168</v>
      </c>
      <c r="B200" s="156"/>
      <c r="C200" s="156"/>
      <c r="D200" s="156"/>
      <c r="E200" s="156"/>
      <c r="F200" s="156"/>
      <c r="G200" s="156"/>
      <c r="H200" s="156"/>
      <c r="I200" s="156"/>
      <c r="J200" s="156" t="s">
        <v>174</v>
      </c>
      <c r="K200" s="156"/>
      <c r="L200" s="156"/>
      <c r="M200" s="156"/>
      <c r="N200" s="156"/>
    </row>
    <row r="201" spans="1:14" s="113" customFormat="1" ht="15.75">
      <c r="A201" s="101" t="s">
        <v>169</v>
      </c>
      <c r="B201" s="101"/>
      <c r="C201" s="30"/>
      <c r="D201" s="30"/>
      <c r="E201" s="30"/>
      <c r="F201" s="30"/>
      <c r="G201" s="30"/>
      <c r="H201" s="30"/>
      <c r="I201" s="30"/>
      <c r="J201" s="30"/>
      <c r="K201" s="30"/>
      <c r="L201" s="57"/>
      <c r="M201" s="30"/>
      <c r="N201" s="30"/>
    </row>
    <row r="202" spans="1:14" s="113" customFormat="1" ht="9" customHeight="1">
      <c r="A202" s="101"/>
      <c r="B202" s="101"/>
      <c r="C202" s="30"/>
      <c r="D202" s="30"/>
      <c r="E202" s="30"/>
      <c r="F202" s="30"/>
      <c r="G202" s="30"/>
      <c r="H202" s="30"/>
      <c r="I202" s="30"/>
      <c r="J202" s="30"/>
      <c r="K202" s="30"/>
      <c r="L202" s="57"/>
      <c r="M202" s="30"/>
      <c r="N202" s="30"/>
    </row>
    <row r="203" spans="1:14" ht="15.75">
      <c r="A203" s="90"/>
      <c r="B203" s="90"/>
      <c r="C203" s="31"/>
      <c r="D203" s="31"/>
      <c r="E203" s="31"/>
      <c r="F203" s="90"/>
      <c r="G203" s="90"/>
      <c r="H203" s="31"/>
      <c r="I203" s="31"/>
      <c r="J203" s="31"/>
      <c r="K203" s="90"/>
      <c r="L203" s="90"/>
      <c r="M203" s="68"/>
      <c r="N203" s="68"/>
    </row>
    <row r="204" spans="1:14">
      <c r="A204" s="52"/>
      <c r="D204" s="53"/>
      <c r="E204" s="54"/>
      <c r="G204" s="55"/>
      <c r="J204" s="56"/>
      <c r="K204" s="56"/>
      <c r="L204" s="57"/>
      <c r="M204" s="55"/>
      <c r="N204" s="25"/>
    </row>
  </sheetData>
  <sheetProtection formatColumns="0" formatRows="0" insertColumns="0" insertRows="0" sort="0" autoFilter="0" pivotTables="0"/>
  <mergeCells count="423">
    <mergeCell ref="I77:K77"/>
    <mergeCell ref="I78:K78"/>
    <mergeCell ref="E70:I70"/>
    <mergeCell ref="E71:I71"/>
    <mergeCell ref="E72:I72"/>
    <mergeCell ref="E73:I73"/>
    <mergeCell ref="J66:K66"/>
    <mergeCell ref="J67:K67"/>
    <mergeCell ref="J64:K64"/>
    <mergeCell ref="J65:K65"/>
    <mergeCell ref="J71:K71"/>
    <mergeCell ref="J73:K73"/>
    <mergeCell ref="J68:K68"/>
    <mergeCell ref="J69:K69"/>
    <mergeCell ref="L72:N72"/>
    <mergeCell ref="L73:N73"/>
    <mergeCell ref="J70:K70"/>
    <mergeCell ref="J72:K72"/>
    <mergeCell ref="K197:L197"/>
    <mergeCell ref="K111:L111"/>
    <mergeCell ref="K113:L113"/>
    <mergeCell ref="A135:N135"/>
    <mergeCell ref="F144:G144"/>
    <mergeCell ref="C109:D109"/>
    <mergeCell ref="C111:D111"/>
    <mergeCell ref="C113:D113"/>
    <mergeCell ref="C117:D117"/>
    <mergeCell ref="C119:D119"/>
    <mergeCell ref="C121:D121"/>
    <mergeCell ref="C123:D123"/>
    <mergeCell ref="H144:I144"/>
    <mergeCell ref="F146:G146"/>
    <mergeCell ref="H146:I146"/>
    <mergeCell ref="B133:C133"/>
    <mergeCell ref="D133:E133"/>
    <mergeCell ref="K127:M127"/>
    <mergeCell ref="A95:B95"/>
    <mergeCell ref="A97:B97"/>
    <mergeCell ref="C95:D95"/>
    <mergeCell ref="C97:D97"/>
    <mergeCell ref="G95:H95"/>
    <mergeCell ref="G97:H97"/>
    <mergeCell ref="A199:B199"/>
    <mergeCell ref="C199:D199"/>
    <mergeCell ref="G199:H199"/>
    <mergeCell ref="K199:L199"/>
    <mergeCell ref="B190:N190"/>
    <mergeCell ref="B191:N191"/>
    <mergeCell ref="B192:N192"/>
    <mergeCell ref="B193:N193"/>
    <mergeCell ref="B194:N194"/>
    <mergeCell ref="B195:N195"/>
    <mergeCell ref="I179:K179"/>
    <mergeCell ref="I180:K180"/>
    <mergeCell ref="G107:H107"/>
    <mergeCell ref="G109:H109"/>
    <mergeCell ref="A197:B197"/>
    <mergeCell ref="C197:D197"/>
    <mergeCell ref="G197:H197"/>
    <mergeCell ref="E166:I166"/>
    <mergeCell ref="A167:D167"/>
    <mergeCell ref="E167:I167"/>
    <mergeCell ref="A24:B24"/>
    <mergeCell ref="C22:D22"/>
    <mergeCell ref="C24:D24"/>
    <mergeCell ref="C26:D26"/>
    <mergeCell ref="G24:H24"/>
    <mergeCell ref="G26:H26"/>
    <mergeCell ref="E63:I63"/>
    <mergeCell ref="E64:I64"/>
    <mergeCell ref="E65:I65"/>
    <mergeCell ref="G22:H22"/>
    <mergeCell ref="A28:N28"/>
    <mergeCell ref="B30:C30"/>
    <mergeCell ref="D30:E30"/>
    <mergeCell ref="G30:H30"/>
    <mergeCell ref="I30:J30"/>
    <mergeCell ref="K56:L56"/>
    <mergeCell ref="M56:N56"/>
    <mergeCell ref="M60:N60"/>
    <mergeCell ref="J59:K59"/>
    <mergeCell ref="L49:M49"/>
    <mergeCell ref="L51:M51"/>
    <mergeCell ref="L53:M53"/>
    <mergeCell ref="A32:N32"/>
    <mergeCell ref="F34:H34"/>
    <mergeCell ref="A42:B42"/>
    <mergeCell ref="L36:M36"/>
    <mergeCell ref="C36:D36"/>
    <mergeCell ref="E66:I66"/>
    <mergeCell ref="E67:I67"/>
    <mergeCell ref="E68:I68"/>
    <mergeCell ref="E69:I69"/>
    <mergeCell ref="A34:B34"/>
    <mergeCell ref="C34:D34"/>
    <mergeCell ref="F42:G42"/>
    <mergeCell ref="H42:I42"/>
    <mergeCell ref="A68:D68"/>
    <mergeCell ref="A69:D69"/>
    <mergeCell ref="F54:G54"/>
    <mergeCell ref="K60:L60"/>
    <mergeCell ref="C60:D60"/>
    <mergeCell ref="F48:G48"/>
    <mergeCell ref="H48:I48"/>
    <mergeCell ref="F50:G50"/>
    <mergeCell ref="H46:I46"/>
    <mergeCell ref="H50:I50"/>
    <mergeCell ref="A48:B48"/>
    <mergeCell ref="F36:G36"/>
    <mergeCell ref="A52:B52"/>
    <mergeCell ref="A36:B36"/>
    <mergeCell ref="A62:N62"/>
    <mergeCell ref="H52:I52"/>
    <mergeCell ref="L50:M50"/>
    <mergeCell ref="L52:M52"/>
    <mergeCell ref="H44:I44"/>
    <mergeCell ref="L38:M38"/>
    <mergeCell ref="L40:M40"/>
    <mergeCell ref="L42:M42"/>
    <mergeCell ref="L54:M54"/>
    <mergeCell ref="H54:I54"/>
    <mergeCell ref="A60:B60"/>
    <mergeCell ref="C54:D54"/>
    <mergeCell ref="A56:B56"/>
    <mergeCell ref="C58:D58"/>
    <mergeCell ref="L41:M41"/>
    <mergeCell ref="L43:M43"/>
    <mergeCell ref="L45:M45"/>
    <mergeCell ref="A44:B44"/>
    <mergeCell ref="C44:D44"/>
    <mergeCell ref="F58:G58"/>
    <mergeCell ref="H58:I58"/>
    <mergeCell ref="F60:G60"/>
    <mergeCell ref="H60:I60"/>
    <mergeCell ref="K19:L19"/>
    <mergeCell ref="M19:N19"/>
    <mergeCell ref="K18:M18"/>
    <mergeCell ref="K24:M24"/>
    <mergeCell ref="K26:M26"/>
    <mergeCell ref="J12:K12"/>
    <mergeCell ref="L12:N12"/>
    <mergeCell ref="C16:D16"/>
    <mergeCell ref="C18:D18"/>
    <mergeCell ref="C20:D20"/>
    <mergeCell ref="C14:D14"/>
    <mergeCell ref="K20:M20"/>
    <mergeCell ref="J14:K14"/>
    <mergeCell ref="L14:N14"/>
    <mergeCell ref="J16:K16"/>
    <mergeCell ref="L16:N16"/>
    <mergeCell ref="G4:H4"/>
    <mergeCell ref="G6:H6"/>
    <mergeCell ref="G8:H8"/>
    <mergeCell ref="G10:H10"/>
    <mergeCell ref="G12:H12"/>
    <mergeCell ref="G14:H14"/>
    <mergeCell ref="G16:H16"/>
    <mergeCell ref="G18:H18"/>
    <mergeCell ref="G20:H20"/>
    <mergeCell ref="C4:D4"/>
    <mergeCell ref="C6:D6"/>
    <mergeCell ref="C8:D8"/>
    <mergeCell ref="C10:D10"/>
    <mergeCell ref="C12:D12"/>
    <mergeCell ref="L149:N149"/>
    <mergeCell ref="C150:D150"/>
    <mergeCell ref="J153:K153"/>
    <mergeCell ref="J159:K159"/>
    <mergeCell ref="C125:D125"/>
    <mergeCell ref="G133:H133"/>
    <mergeCell ref="G125:H125"/>
    <mergeCell ref="G127:H127"/>
    <mergeCell ref="G129:H129"/>
    <mergeCell ref="K129:M129"/>
    <mergeCell ref="I117:J117"/>
    <mergeCell ref="I119:J119"/>
    <mergeCell ref="K121:M121"/>
    <mergeCell ref="J63:K63"/>
    <mergeCell ref="A63:D63"/>
    <mergeCell ref="A64:D64"/>
    <mergeCell ref="A65:D65"/>
    <mergeCell ref="A66:D66"/>
    <mergeCell ref="A67:D67"/>
    <mergeCell ref="A158:B158"/>
    <mergeCell ref="C158:D158"/>
    <mergeCell ref="F158:G158"/>
    <mergeCell ref="H158:I158"/>
    <mergeCell ref="K158:L158"/>
    <mergeCell ref="M158:N158"/>
    <mergeCell ref="A164:N164"/>
    <mergeCell ref="L165:N165"/>
    <mergeCell ref="L166:N166"/>
    <mergeCell ref="A160:B160"/>
    <mergeCell ref="F160:G160"/>
    <mergeCell ref="H160:I160"/>
    <mergeCell ref="K160:L160"/>
    <mergeCell ref="M160:N160"/>
    <mergeCell ref="C148:D148"/>
    <mergeCell ref="C149:D149"/>
    <mergeCell ref="J149:K149"/>
    <mergeCell ref="A156:B156"/>
    <mergeCell ref="F156:G156"/>
    <mergeCell ref="H156:I156"/>
    <mergeCell ref="L156:M156"/>
    <mergeCell ref="F148:G148"/>
    <mergeCell ref="H148:I148"/>
    <mergeCell ref="F152:G152"/>
    <mergeCell ref="H152:I152"/>
    <mergeCell ref="A148:B148"/>
    <mergeCell ref="L148:M148"/>
    <mergeCell ref="A150:B150"/>
    <mergeCell ref="F150:G150"/>
    <mergeCell ref="H150:I150"/>
    <mergeCell ref="L150:M150"/>
    <mergeCell ref="A152:B152"/>
    <mergeCell ref="L152:M152"/>
    <mergeCell ref="A154:B154"/>
    <mergeCell ref="C154:D154"/>
    <mergeCell ref="L154:M154"/>
    <mergeCell ref="C153:D153"/>
    <mergeCell ref="L153:N153"/>
    <mergeCell ref="C145:D145"/>
    <mergeCell ref="J145:K145"/>
    <mergeCell ref="L145:N145"/>
    <mergeCell ref="C146:D146"/>
    <mergeCell ref="A146:B146"/>
    <mergeCell ref="L146:M146"/>
    <mergeCell ref="J147:K147"/>
    <mergeCell ref="L147:N147"/>
    <mergeCell ref="C147:D147"/>
    <mergeCell ref="A144:B144"/>
    <mergeCell ref="L144:M144"/>
    <mergeCell ref="J139:K139"/>
    <mergeCell ref="L139:N139"/>
    <mergeCell ref="C141:D141"/>
    <mergeCell ref="E141:F141"/>
    <mergeCell ref="G141:H141"/>
    <mergeCell ref="J141:K141"/>
    <mergeCell ref="L141:N141"/>
    <mergeCell ref="C142:D142"/>
    <mergeCell ref="J143:K143"/>
    <mergeCell ref="L143:N143"/>
    <mergeCell ref="C144:D144"/>
    <mergeCell ref="A33:B33"/>
    <mergeCell ref="K58:L58"/>
    <mergeCell ref="M58:N58"/>
    <mergeCell ref="A54:B54"/>
    <mergeCell ref="L48:M48"/>
    <mergeCell ref="H38:I38"/>
    <mergeCell ref="H36:I36"/>
    <mergeCell ref="C40:D40"/>
    <mergeCell ref="F46:G46"/>
    <mergeCell ref="A46:B46"/>
    <mergeCell ref="A40:B40"/>
    <mergeCell ref="C38:D38"/>
    <mergeCell ref="F40:G40"/>
    <mergeCell ref="F44:G44"/>
    <mergeCell ref="H40:I40"/>
    <mergeCell ref="C50:D50"/>
    <mergeCell ref="A38:B38"/>
    <mergeCell ref="K34:N34"/>
    <mergeCell ref="C42:D42"/>
    <mergeCell ref="C46:D46"/>
    <mergeCell ref="C52:D52"/>
    <mergeCell ref="L44:M44"/>
    <mergeCell ref="L46:M46"/>
    <mergeCell ref="L47:M47"/>
    <mergeCell ref="A58:B58"/>
    <mergeCell ref="C56:D56"/>
    <mergeCell ref="A50:B50"/>
    <mergeCell ref="C48:D48"/>
    <mergeCell ref="F56:G56"/>
    <mergeCell ref="H56:I56"/>
    <mergeCell ref="H57:I57"/>
    <mergeCell ref="A70:D70"/>
    <mergeCell ref="A71:D71"/>
    <mergeCell ref="F52:G52"/>
    <mergeCell ref="A72:D72"/>
    <mergeCell ref="J74:K74"/>
    <mergeCell ref="K112:L112"/>
    <mergeCell ref="C127:D127"/>
    <mergeCell ref="C115:D115"/>
    <mergeCell ref="I115:J115"/>
    <mergeCell ref="K115:M115"/>
    <mergeCell ref="A73:D73"/>
    <mergeCell ref="B89:N89"/>
    <mergeCell ref="B90:N90"/>
    <mergeCell ref="B91:N91"/>
    <mergeCell ref="B92:N92"/>
    <mergeCell ref="B93:N93"/>
    <mergeCell ref="B80:N80"/>
    <mergeCell ref="B87:N87"/>
    <mergeCell ref="B81:N81"/>
    <mergeCell ref="B82:N82"/>
    <mergeCell ref="B83:N83"/>
    <mergeCell ref="B84:N84"/>
    <mergeCell ref="B85:N85"/>
    <mergeCell ref="B86:N86"/>
    <mergeCell ref="B88:N88"/>
    <mergeCell ref="K123:M123"/>
    <mergeCell ref="K124:M124"/>
    <mergeCell ref="F137:H137"/>
    <mergeCell ref="K137:N137"/>
    <mergeCell ref="I103:N103"/>
    <mergeCell ref="L74:N74"/>
    <mergeCell ref="C129:D129"/>
    <mergeCell ref="K95:L95"/>
    <mergeCell ref="K97:L97"/>
    <mergeCell ref="F77:G77"/>
    <mergeCell ref="F78:G78"/>
    <mergeCell ref="G111:H111"/>
    <mergeCell ref="G113:H113"/>
    <mergeCell ref="G115:H115"/>
    <mergeCell ref="G117:H117"/>
    <mergeCell ref="G119:H119"/>
    <mergeCell ref="G121:H121"/>
    <mergeCell ref="G123:H123"/>
    <mergeCell ref="C107:D107"/>
    <mergeCell ref="A131:N131"/>
    <mergeCell ref="A137:B137"/>
    <mergeCell ref="I133:J133"/>
    <mergeCell ref="K117:M117"/>
    <mergeCell ref="K119:M119"/>
    <mergeCell ref="K122:L122"/>
    <mergeCell ref="M122:N122"/>
    <mergeCell ref="A138:B138"/>
    <mergeCell ref="C138:D138"/>
    <mergeCell ref="F138:G138"/>
    <mergeCell ref="H138:I138"/>
    <mergeCell ref="L138:M138"/>
    <mergeCell ref="C143:D143"/>
    <mergeCell ref="E143:F143"/>
    <mergeCell ref="G143:H143"/>
    <mergeCell ref="A140:B140"/>
    <mergeCell ref="F140:G140"/>
    <mergeCell ref="H140:I140"/>
    <mergeCell ref="L140:M140"/>
    <mergeCell ref="A142:B142"/>
    <mergeCell ref="F142:G142"/>
    <mergeCell ref="H142:I142"/>
    <mergeCell ref="L142:M142"/>
    <mergeCell ref="C140:D140"/>
    <mergeCell ref="C151:D151"/>
    <mergeCell ref="L151:N151"/>
    <mergeCell ref="C162:D162"/>
    <mergeCell ref="A162:B162"/>
    <mergeCell ref="F162:G162"/>
    <mergeCell ref="H162:I162"/>
    <mergeCell ref="K162:L162"/>
    <mergeCell ref="M162:N162"/>
    <mergeCell ref="L167:N167"/>
    <mergeCell ref="C159:D159"/>
    <mergeCell ref="E159:F159"/>
    <mergeCell ref="G159:H159"/>
    <mergeCell ref="L159:N159"/>
    <mergeCell ref="C160:D160"/>
    <mergeCell ref="C161:D161"/>
    <mergeCell ref="E161:F161"/>
    <mergeCell ref="G161:H161"/>
    <mergeCell ref="L161:N161"/>
    <mergeCell ref="C152:D152"/>
    <mergeCell ref="J151:K151"/>
    <mergeCell ref="J161:K161"/>
    <mergeCell ref="C156:D156"/>
    <mergeCell ref="A165:D165"/>
    <mergeCell ref="E165:I165"/>
    <mergeCell ref="L168:N168"/>
    <mergeCell ref="J165:K165"/>
    <mergeCell ref="J166:K166"/>
    <mergeCell ref="J167:K167"/>
    <mergeCell ref="J168:K168"/>
    <mergeCell ref="A168:D168"/>
    <mergeCell ref="E168:I168"/>
    <mergeCell ref="L171:N171"/>
    <mergeCell ref="L172:N172"/>
    <mergeCell ref="J169:K169"/>
    <mergeCell ref="J170:K170"/>
    <mergeCell ref="L169:N169"/>
    <mergeCell ref="L170:N170"/>
    <mergeCell ref="A171:D171"/>
    <mergeCell ref="E171:I171"/>
    <mergeCell ref="A172:D172"/>
    <mergeCell ref="E172:I172"/>
    <mergeCell ref="J171:K171"/>
    <mergeCell ref="J172:K172"/>
    <mergeCell ref="A169:D169"/>
    <mergeCell ref="E169:I169"/>
    <mergeCell ref="A170:D170"/>
    <mergeCell ref="E170:I170"/>
    <mergeCell ref="A166:D166"/>
    <mergeCell ref="L174:N174"/>
    <mergeCell ref="A173:D173"/>
    <mergeCell ref="E173:I173"/>
    <mergeCell ref="A174:D174"/>
    <mergeCell ref="E174:I174"/>
    <mergeCell ref="A175:D175"/>
    <mergeCell ref="E175:I175"/>
    <mergeCell ref="J175:K175"/>
    <mergeCell ref="J176:K176"/>
    <mergeCell ref="B189:N189"/>
    <mergeCell ref="L63:N63"/>
    <mergeCell ref="L64:N64"/>
    <mergeCell ref="L65:N65"/>
    <mergeCell ref="L66:N66"/>
    <mergeCell ref="L67:N67"/>
    <mergeCell ref="L68:N68"/>
    <mergeCell ref="L69:N69"/>
    <mergeCell ref="L70:N70"/>
    <mergeCell ref="L71:N71"/>
    <mergeCell ref="F179:G179"/>
    <mergeCell ref="F180:G180"/>
    <mergeCell ref="B182:N182"/>
    <mergeCell ref="B183:N183"/>
    <mergeCell ref="B184:N184"/>
    <mergeCell ref="B185:N185"/>
    <mergeCell ref="B186:N186"/>
    <mergeCell ref="B187:N187"/>
    <mergeCell ref="B188:N188"/>
    <mergeCell ref="L175:N175"/>
    <mergeCell ref="L176:N176"/>
    <mergeCell ref="J173:K173"/>
    <mergeCell ref="J174:K174"/>
    <mergeCell ref="L173:N173"/>
  </mergeCells>
  <dataValidations count="9">
    <dataValidation type="custom" allowBlank="1" showInputMessage="1" showErrorMessage="1" sqref="M162 M60 H55 H51">
      <formula1>INDIRECT(seguro_selección)</formula1>
    </dataValidation>
    <dataValidation type="list" allowBlank="1" showInputMessage="1" showErrorMessage="1" sqref="N109 N6">
      <formula1>Categoría_trámite</formula1>
    </dataValidation>
    <dataValidation type="list" allowBlank="1" showInputMessage="1" showErrorMessage="1" sqref="H44 H150 H146 C31 H48 C134">
      <formula1>Póliza_auto</formula1>
    </dataValidation>
    <dataValidation type="list" allowBlank="1" showInputMessage="1" showErrorMessage="1" sqref="N31 F130 N134">
      <formula1>Mantiene_póliza_vigente</formula1>
    </dataValidation>
    <dataValidation type="list" allowBlank="1" showInputMessage="1" showErrorMessage="1" sqref="K117 L14">
      <formula1>Feria</formula1>
    </dataValidation>
    <dataValidation type="list" allowBlank="1" showInputMessage="1" showErrorMessage="1" sqref="H42:I42 H144:I144">
      <formula1>Forma_pago</formula1>
    </dataValidation>
    <dataValidation type="list" allowBlank="1" showInputMessage="1" showErrorMessage="1" sqref="C41">
      <formula1>Tasas</formula1>
    </dataValidation>
    <dataValidation type="list" allowBlank="1" showInputMessage="1" showErrorMessage="1" sqref="C95:D95">
      <formula1>Ejec_negocios</formula1>
    </dataValidation>
    <dataValidation type="list" allowBlank="1" showInputMessage="1" showErrorMessage="1" sqref="N105">
      <formula1>Tipo_contacto</formula1>
    </dataValidation>
  </dataValidations>
  <pageMargins left="0.69" right="0.31496062992125984" top="0.3543307086614173" bottom="0.3543307086614173" header="0.31496062992125984" footer="0.31496062992125984"/>
  <pageSetup scale="54" orientation="portrait" r:id="rId1"/>
  <rowBreaks count="1" manualBreakCount="1">
    <brk id="101" max="1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 fitToPage="1"/>
  </sheetPr>
  <dimension ref="A1:R35"/>
  <sheetViews>
    <sheetView topLeftCell="L1" workbookViewId="0">
      <selection activeCell="T8" sqref="T8"/>
    </sheetView>
  </sheetViews>
  <sheetFormatPr baseColWidth="10" defaultRowHeight="12.75"/>
  <cols>
    <col min="1" max="1" width="18.85546875" style="183" hidden="1" customWidth="1"/>
    <col min="2" max="2" width="11.85546875" style="183" hidden="1" customWidth="1"/>
    <col min="3" max="3" width="0" style="183" hidden="1" customWidth="1"/>
    <col min="4" max="4" width="2.7109375" style="183" hidden="1" customWidth="1"/>
    <col min="5" max="5" width="12.7109375" style="183" hidden="1" customWidth="1"/>
    <col min="6" max="6" width="2.7109375" style="183" hidden="1" customWidth="1"/>
    <col min="7" max="7" width="5.7109375" style="183" hidden="1" customWidth="1"/>
    <col min="8" max="10" width="0" style="183" hidden="1" customWidth="1"/>
    <col min="11" max="11" width="8.7109375" style="183" hidden="1" customWidth="1"/>
    <col min="12" max="12" width="30.7109375" style="183" customWidth="1"/>
    <col min="13" max="13" width="19.28515625" style="183" customWidth="1"/>
    <col min="14" max="14" width="17.85546875" style="183" customWidth="1"/>
    <col min="15" max="15" width="10.7109375" style="183" customWidth="1"/>
    <col min="16" max="16" width="12.28515625" style="183" customWidth="1"/>
    <col min="17" max="17" width="8.42578125" style="183" customWidth="1"/>
    <col min="18" max="18" width="30.7109375" style="183" customWidth="1"/>
    <col min="19" max="19" width="11.85546875" style="183" customWidth="1"/>
    <col min="20" max="20" width="10" style="183" customWidth="1"/>
    <col min="21" max="256" width="11.42578125" style="183"/>
    <col min="257" max="267" width="0" style="183" hidden="1" customWidth="1"/>
    <col min="268" max="268" width="30.7109375" style="183" customWidth="1"/>
    <col min="269" max="269" width="19.28515625" style="183" customWidth="1"/>
    <col min="270" max="270" width="17.85546875" style="183" customWidth="1"/>
    <col min="271" max="271" width="10.7109375" style="183" customWidth="1"/>
    <col min="272" max="272" width="12.28515625" style="183" customWidth="1"/>
    <col min="273" max="273" width="8.42578125" style="183" customWidth="1"/>
    <col min="274" max="274" width="30.7109375" style="183" customWidth="1"/>
    <col min="275" max="275" width="11.85546875" style="183" customWidth="1"/>
    <col min="276" max="276" width="10" style="183" customWidth="1"/>
    <col min="277" max="512" width="11.42578125" style="183"/>
    <col min="513" max="523" width="0" style="183" hidden="1" customWidth="1"/>
    <col min="524" max="524" width="30.7109375" style="183" customWidth="1"/>
    <col min="525" max="525" width="19.28515625" style="183" customWidth="1"/>
    <col min="526" max="526" width="17.85546875" style="183" customWidth="1"/>
    <col min="527" max="527" width="10.7109375" style="183" customWidth="1"/>
    <col min="528" max="528" width="12.28515625" style="183" customWidth="1"/>
    <col min="529" max="529" width="8.42578125" style="183" customWidth="1"/>
    <col min="530" max="530" width="30.7109375" style="183" customWidth="1"/>
    <col min="531" max="531" width="11.85546875" style="183" customWidth="1"/>
    <col min="532" max="532" width="10" style="183" customWidth="1"/>
    <col min="533" max="768" width="11.42578125" style="183"/>
    <col min="769" max="779" width="0" style="183" hidden="1" customWidth="1"/>
    <col min="780" max="780" width="30.7109375" style="183" customWidth="1"/>
    <col min="781" max="781" width="19.28515625" style="183" customWidth="1"/>
    <col min="782" max="782" width="17.85546875" style="183" customWidth="1"/>
    <col min="783" max="783" width="10.7109375" style="183" customWidth="1"/>
    <col min="784" max="784" width="12.28515625" style="183" customWidth="1"/>
    <col min="785" max="785" width="8.42578125" style="183" customWidth="1"/>
    <col min="786" max="786" width="30.7109375" style="183" customWidth="1"/>
    <col min="787" max="787" width="11.85546875" style="183" customWidth="1"/>
    <col min="788" max="788" width="10" style="183" customWidth="1"/>
    <col min="789" max="1024" width="11.42578125" style="183"/>
    <col min="1025" max="1035" width="0" style="183" hidden="1" customWidth="1"/>
    <col min="1036" max="1036" width="30.7109375" style="183" customWidth="1"/>
    <col min="1037" max="1037" width="19.28515625" style="183" customWidth="1"/>
    <col min="1038" max="1038" width="17.85546875" style="183" customWidth="1"/>
    <col min="1039" max="1039" width="10.7109375" style="183" customWidth="1"/>
    <col min="1040" max="1040" width="12.28515625" style="183" customWidth="1"/>
    <col min="1041" max="1041" width="8.42578125" style="183" customWidth="1"/>
    <col min="1042" max="1042" width="30.7109375" style="183" customWidth="1"/>
    <col min="1043" max="1043" width="11.85546875" style="183" customWidth="1"/>
    <col min="1044" max="1044" width="10" style="183" customWidth="1"/>
    <col min="1045" max="1280" width="11.42578125" style="183"/>
    <col min="1281" max="1291" width="0" style="183" hidden="1" customWidth="1"/>
    <col min="1292" max="1292" width="30.7109375" style="183" customWidth="1"/>
    <col min="1293" max="1293" width="19.28515625" style="183" customWidth="1"/>
    <col min="1294" max="1294" width="17.85546875" style="183" customWidth="1"/>
    <col min="1295" max="1295" width="10.7109375" style="183" customWidth="1"/>
    <col min="1296" max="1296" width="12.28515625" style="183" customWidth="1"/>
    <col min="1297" max="1297" width="8.42578125" style="183" customWidth="1"/>
    <col min="1298" max="1298" width="30.7109375" style="183" customWidth="1"/>
    <col min="1299" max="1299" width="11.85546875" style="183" customWidth="1"/>
    <col min="1300" max="1300" width="10" style="183" customWidth="1"/>
    <col min="1301" max="1536" width="11.42578125" style="183"/>
    <col min="1537" max="1547" width="0" style="183" hidden="1" customWidth="1"/>
    <col min="1548" max="1548" width="30.7109375" style="183" customWidth="1"/>
    <col min="1549" max="1549" width="19.28515625" style="183" customWidth="1"/>
    <col min="1550" max="1550" width="17.85546875" style="183" customWidth="1"/>
    <col min="1551" max="1551" width="10.7109375" style="183" customWidth="1"/>
    <col min="1552" max="1552" width="12.28515625" style="183" customWidth="1"/>
    <col min="1553" max="1553" width="8.42578125" style="183" customWidth="1"/>
    <col min="1554" max="1554" width="30.7109375" style="183" customWidth="1"/>
    <col min="1555" max="1555" width="11.85546875" style="183" customWidth="1"/>
    <col min="1556" max="1556" width="10" style="183" customWidth="1"/>
    <col min="1557" max="1792" width="11.42578125" style="183"/>
    <col min="1793" max="1803" width="0" style="183" hidden="1" customWidth="1"/>
    <col min="1804" max="1804" width="30.7109375" style="183" customWidth="1"/>
    <col min="1805" max="1805" width="19.28515625" style="183" customWidth="1"/>
    <col min="1806" max="1806" width="17.85546875" style="183" customWidth="1"/>
    <col min="1807" max="1807" width="10.7109375" style="183" customWidth="1"/>
    <col min="1808" max="1808" width="12.28515625" style="183" customWidth="1"/>
    <col min="1809" max="1809" width="8.42578125" style="183" customWidth="1"/>
    <col min="1810" max="1810" width="30.7109375" style="183" customWidth="1"/>
    <col min="1811" max="1811" width="11.85546875" style="183" customWidth="1"/>
    <col min="1812" max="1812" width="10" style="183" customWidth="1"/>
    <col min="1813" max="2048" width="11.42578125" style="183"/>
    <col min="2049" max="2059" width="0" style="183" hidden="1" customWidth="1"/>
    <col min="2060" max="2060" width="30.7109375" style="183" customWidth="1"/>
    <col min="2061" max="2061" width="19.28515625" style="183" customWidth="1"/>
    <col min="2062" max="2062" width="17.85546875" style="183" customWidth="1"/>
    <col min="2063" max="2063" width="10.7109375" style="183" customWidth="1"/>
    <col min="2064" max="2064" width="12.28515625" style="183" customWidth="1"/>
    <col min="2065" max="2065" width="8.42578125" style="183" customWidth="1"/>
    <col min="2066" max="2066" width="30.7109375" style="183" customWidth="1"/>
    <col min="2067" max="2067" width="11.85546875" style="183" customWidth="1"/>
    <col min="2068" max="2068" width="10" style="183" customWidth="1"/>
    <col min="2069" max="2304" width="11.42578125" style="183"/>
    <col min="2305" max="2315" width="0" style="183" hidden="1" customWidth="1"/>
    <col min="2316" max="2316" width="30.7109375" style="183" customWidth="1"/>
    <col min="2317" max="2317" width="19.28515625" style="183" customWidth="1"/>
    <col min="2318" max="2318" width="17.85546875" style="183" customWidth="1"/>
    <col min="2319" max="2319" width="10.7109375" style="183" customWidth="1"/>
    <col min="2320" max="2320" width="12.28515625" style="183" customWidth="1"/>
    <col min="2321" max="2321" width="8.42578125" style="183" customWidth="1"/>
    <col min="2322" max="2322" width="30.7109375" style="183" customWidth="1"/>
    <col min="2323" max="2323" width="11.85546875" style="183" customWidth="1"/>
    <col min="2324" max="2324" width="10" style="183" customWidth="1"/>
    <col min="2325" max="2560" width="11.42578125" style="183"/>
    <col min="2561" max="2571" width="0" style="183" hidden="1" customWidth="1"/>
    <col min="2572" max="2572" width="30.7109375" style="183" customWidth="1"/>
    <col min="2573" max="2573" width="19.28515625" style="183" customWidth="1"/>
    <col min="2574" max="2574" width="17.85546875" style="183" customWidth="1"/>
    <col min="2575" max="2575" width="10.7109375" style="183" customWidth="1"/>
    <col min="2576" max="2576" width="12.28515625" style="183" customWidth="1"/>
    <col min="2577" max="2577" width="8.42578125" style="183" customWidth="1"/>
    <col min="2578" max="2578" width="30.7109375" style="183" customWidth="1"/>
    <col min="2579" max="2579" width="11.85546875" style="183" customWidth="1"/>
    <col min="2580" max="2580" width="10" style="183" customWidth="1"/>
    <col min="2581" max="2816" width="11.42578125" style="183"/>
    <col min="2817" max="2827" width="0" style="183" hidden="1" customWidth="1"/>
    <col min="2828" max="2828" width="30.7109375" style="183" customWidth="1"/>
    <col min="2829" max="2829" width="19.28515625" style="183" customWidth="1"/>
    <col min="2830" max="2830" width="17.85546875" style="183" customWidth="1"/>
    <col min="2831" max="2831" width="10.7109375" style="183" customWidth="1"/>
    <col min="2832" max="2832" width="12.28515625" style="183" customWidth="1"/>
    <col min="2833" max="2833" width="8.42578125" style="183" customWidth="1"/>
    <col min="2834" max="2834" width="30.7109375" style="183" customWidth="1"/>
    <col min="2835" max="2835" width="11.85546875" style="183" customWidth="1"/>
    <col min="2836" max="2836" width="10" style="183" customWidth="1"/>
    <col min="2837" max="3072" width="11.42578125" style="183"/>
    <col min="3073" max="3083" width="0" style="183" hidden="1" customWidth="1"/>
    <col min="3084" max="3084" width="30.7109375" style="183" customWidth="1"/>
    <col min="3085" max="3085" width="19.28515625" style="183" customWidth="1"/>
    <col min="3086" max="3086" width="17.85546875" style="183" customWidth="1"/>
    <col min="3087" max="3087" width="10.7109375" style="183" customWidth="1"/>
    <col min="3088" max="3088" width="12.28515625" style="183" customWidth="1"/>
    <col min="3089" max="3089" width="8.42578125" style="183" customWidth="1"/>
    <col min="3090" max="3090" width="30.7109375" style="183" customWidth="1"/>
    <col min="3091" max="3091" width="11.85546875" style="183" customWidth="1"/>
    <col min="3092" max="3092" width="10" style="183" customWidth="1"/>
    <col min="3093" max="3328" width="11.42578125" style="183"/>
    <col min="3329" max="3339" width="0" style="183" hidden="1" customWidth="1"/>
    <col min="3340" max="3340" width="30.7109375" style="183" customWidth="1"/>
    <col min="3341" max="3341" width="19.28515625" style="183" customWidth="1"/>
    <col min="3342" max="3342" width="17.85546875" style="183" customWidth="1"/>
    <col min="3343" max="3343" width="10.7109375" style="183" customWidth="1"/>
    <col min="3344" max="3344" width="12.28515625" style="183" customWidth="1"/>
    <col min="3345" max="3345" width="8.42578125" style="183" customWidth="1"/>
    <col min="3346" max="3346" width="30.7109375" style="183" customWidth="1"/>
    <col min="3347" max="3347" width="11.85546875" style="183" customWidth="1"/>
    <col min="3348" max="3348" width="10" style="183" customWidth="1"/>
    <col min="3349" max="3584" width="11.42578125" style="183"/>
    <col min="3585" max="3595" width="0" style="183" hidden="1" customWidth="1"/>
    <col min="3596" max="3596" width="30.7109375" style="183" customWidth="1"/>
    <col min="3597" max="3597" width="19.28515625" style="183" customWidth="1"/>
    <col min="3598" max="3598" width="17.85546875" style="183" customWidth="1"/>
    <col min="3599" max="3599" width="10.7109375" style="183" customWidth="1"/>
    <col min="3600" max="3600" width="12.28515625" style="183" customWidth="1"/>
    <col min="3601" max="3601" width="8.42578125" style="183" customWidth="1"/>
    <col min="3602" max="3602" width="30.7109375" style="183" customWidth="1"/>
    <col min="3603" max="3603" width="11.85546875" style="183" customWidth="1"/>
    <col min="3604" max="3604" width="10" style="183" customWidth="1"/>
    <col min="3605" max="3840" width="11.42578125" style="183"/>
    <col min="3841" max="3851" width="0" style="183" hidden="1" customWidth="1"/>
    <col min="3852" max="3852" width="30.7109375" style="183" customWidth="1"/>
    <col min="3853" max="3853" width="19.28515625" style="183" customWidth="1"/>
    <col min="3854" max="3854" width="17.85546875" style="183" customWidth="1"/>
    <col min="3855" max="3855" width="10.7109375" style="183" customWidth="1"/>
    <col min="3856" max="3856" width="12.28515625" style="183" customWidth="1"/>
    <col min="3857" max="3857" width="8.42578125" style="183" customWidth="1"/>
    <col min="3858" max="3858" width="30.7109375" style="183" customWidth="1"/>
    <col min="3859" max="3859" width="11.85546875" style="183" customWidth="1"/>
    <col min="3860" max="3860" width="10" style="183" customWidth="1"/>
    <col min="3861" max="4096" width="11.42578125" style="183"/>
    <col min="4097" max="4107" width="0" style="183" hidden="1" customWidth="1"/>
    <col min="4108" max="4108" width="30.7109375" style="183" customWidth="1"/>
    <col min="4109" max="4109" width="19.28515625" style="183" customWidth="1"/>
    <col min="4110" max="4110" width="17.85546875" style="183" customWidth="1"/>
    <col min="4111" max="4111" width="10.7109375" style="183" customWidth="1"/>
    <col min="4112" max="4112" width="12.28515625" style="183" customWidth="1"/>
    <col min="4113" max="4113" width="8.42578125" style="183" customWidth="1"/>
    <col min="4114" max="4114" width="30.7109375" style="183" customWidth="1"/>
    <col min="4115" max="4115" width="11.85546875" style="183" customWidth="1"/>
    <col min="4116" max="4116" width="10" style="183" customWidth="1"/>
    <col min="4117" max="4352" width="11.42578125" style="183"/>
    <col min="4353" max="4363" width="0" style="183" hidden="1" customWidth="1"/>
    <col min="4364" max="4364" width="30.7109375" style="183" customWidth="1"/>
    <col min="4365" max="4365" width="19.28515625" style="183" customWidth="1"/>
    <col min="4366" max="4366" width="17.85546875" style="183" customWidth="1"/>
    <col min="4367" max="4367" width="10.7109375" style="183" customWidth="1"/>
    <col min="4368" max="4368" width="12.28515625" style="183" customWidth="1"/>
    <col min="4369" max="4369" width="8.42578125" style="183" customWidth="1"/>
    <col min="4370" max="4370" width="30.7109375" style="183" customWidth="1"/>
    <col min="4371" max="4371" width="11.85546875" style="183" customWidth="1"/>
    <col min="4372" max="4372" width="10" style="183" customWidth="1"/>
    <col min="4373" max="4608" width="11.42578125" style="183"/>
    <col min="4609" max="4619" width="0" style="183" hidden="1" customWidth="1"/>
    <col min="4620" max="4620" width="30.7109375" style="183" customWidth="1"/>
    <col min="4621" max="4621" width="19.28515625" style="183" customWidth="1"/>
    <col min="4622" max="4622" width="17.85546875" style="183" customWidth="1"/>
    <col min="4623" max="4623" width="10.7109375" style="183" customWidth="1"/>
    <col min="4624" max="4624" width="12.28515625" style="183" customWidth="1"/>
    <col min="4625" max="4625" width="8.42578125" style="183" customWidth="1"/>
    <col min="4626" max="4626" width="30.7109375" style="183" customWidth="1"/>
    <col min="4627" max="4627" width="11.85546875" style="183" customWidth="1"/>
    <col min="4628" max="4628" width="10" style="183" customWidth="1"/>
    <col min="4629" max="4864" width="11.42578125" style="183"/>
    <col min="4865" max="4875" width="0" style="183" hidden="1" customWidth="1"/>
    <col min="4876" max="4876" width="30.7109375" style="183" customWidth="1"/>
    <col min="4877" max="4877" width="19.28515625" style="183" customWidth="1"/>
    <col min="4878" max="4878" width="17.85546875" style="183" customWidth="1"/>
    <col min="4879" max="4879" width="10.7109375" style="183" customWidth="1"/>
    <col min="4880" max="4880" width="12.28515625" style="183" customWidth="1"/>
    <col min="4881" max="4881" width="8.42578125" style="183" customWidth="1"/>
    <col min="4882" max="4882" width="30.7109375" style="183" customWidth="1"/>
    <col min="4883" max="4883" width="11.85546875" style="183" customWidth="1"/>
    <col min="4884" max="4884" width="10" style="183" customWidth="1"/>
    <col min="4885" max="5120" width="11.42578125" style="183"/>
    <col min="5121" max="5131" width="0" style="183" hidden="1" customWidth="1"/>
    <col min="5132" max="5132" width="30.7109375" style="183" customWidth="1"/>
    <col min="5133" max="5133" width="19.28515625" style="183" customWidth="1"/>
    <col min="5134" max="5134" width="17.85546875" style="183" customWidth="1"/>
    <col min="5135" max="5135" width="10.7109375" style="183" customWidth="1"/>
    <col min="5136" max="5136" width="12.28515625" style="183" customWidth="1"/>
    <col min="5137" max="5137" width="8.42578125" style="183" customWidth="1"/>
    <col min="5138" max="5138" width="30.7109375" style="183" customWidth="1"/>
    <col min="5139" max="5139" width="11.85546875" style="183" customWidth="1"/>
    <col min="5140" max="5140" width="10" style="183" customWidth="1"/>
    <col min="5141" max="5376" width="11.42578125" style="183"/>
    <col min="5377" max="5387" width="0" style="183" hidden="1" customWidth="1"/>
    <col min="5388" max="5388" width="30.7109375" style="183" customWidth="1"/>
    <col min="5389" max="5389" width="19.28515625" style="183" customWidth="1"/>
    <col min="5390" max="5390" width="17.85546875" style="183" customWidth="1"/>
    <col min="5391" max="5391" width="10.7109375" style="183" customWidth="1"/>
    <col min="5392" max="5392" width="12.28515625" style="183" customWidth="1"/>
    <col min="5393" max="5393" width="8.42578125" style="183" customWidth="1"/>
    <col min="5394" max="5394" width="30.7109375" style="183" customWidth="1"/>
    <col min="5395" max="5395" width="11.85546875" style="183" customWidth="1"/>
    <col min="5396" max="5396" width="10" style="183" customWidth="1"/>
    <col min="5397" max="5632" width="11.42578125" style="183"/>
    <col min="5633" max="5643" width="0" style="183" hidden="1" customWidth="1"/>
    <col min="5644" max="5644" width="30.7109375" style="183" customWidth="1"/>
    <col min="5645" max="5645" width="19.28515625" style="183" customWidth="1"/>
    <col min="5646" max="5646" width="17.85546875" style="183" customWidth="1"/>
    <col min="5647" max="5647" width="10.7109375" style="183" customWidth="1"/>
    <col min="5648" max="5648" width="12.28515625" style="183" customWidth="1"/>
    <col min="5649" max="5649" width="8.42578125" style="183" customWidth="1"/>
    <col min="5650" max="5650" width="30.7109375" style="183" customWidth="1"/>
    <col min="5651" max="5651" width="11.85546875" style="183" customWidth="1"/>
    <col min="5652" max="5652" width="10" style="183" customWidth="1"/>
    <col min="5653" max="5888" width="11.42578125" style="183"/>
    <col min="5889" max="5899" width="0" style="183" hidden="1" customWidth="1"/>
    <col min="5900" max="5900" width="30.7109375" style="183" customWidth="1"/>
    <col min="5901" max="5901" width="19.28515625" style="183" customWidth="1"/>
    <col min="5902" max="5902" width="17.85546875" style="183" customWidth="1"/>
    <col min="5903" max="5903" width="10.7109375" style="183" customWidth="1"/>
    <col min="5904" max="5904" width="12.28515625" style="183" customWidth="1"/>
    <col min="5905" max="5905" width="8.42578125" style="183" customWidth="1"/>
    <col min="5906" max="5906" width="30.7109375" style="183" customWidth="1"/>
    <col min="5907" max="5907" width="11.85546875" style="183" customWidth="1"/>
    <col min="5908" max="5908" width="10" style="183" customWidth="1"/>
    <col min="5909" max="6144" width="11.42578125" style="183"/>
    <col min="6145" max="6155" width="0" style="183" hidden="1" customWidth="1"/>
    <col min="6156" max="6156" width="30.7109375" style="183" customWidth="1"/>
    <col min="6157" max="6157" width="19.28515625" style="183" customWidth="1"/>
    <col min="6158" max="6158" width="17.85546875" style="183" customWidth="1"/>
    <col min="6159" max="6159" width="10.7109375" style="183" customWidth="1"/>
    <col min="6160" max="6160" width="12.28515625" style="183" customWidth="1"/>
    <col min="6161" max="6161" width="8.42578125" style="183" customWidth="1"/>
    <col min="6162" max="6162" width="30.7109375" style="183" customWidth="1"/>
    <col min="6163" max="6163" width="11.85546875" style="183" customWidth="1"/>
    <col min="6164" max="6164" width="10" style="183" customWidth="1"/>
    <col min="6165" max="6400" width="11.42578125" style="183"/>
    <col min="6401" max="6411" width="0" style="183" hidden="1" customWidth="1"/>
    <col min="6412" max="6412" width="30.7109375" style="183" customWidth="1"/>
    <col min="6413" max="6413" width="19.28515625" style="183" customWidth="1"/>
    <col min="6414" max="6414" width="17.85546875" style="183" customWidth="1"/>
    <col min="6415" max="6415" width="10.7109375" style="183" customWidth="1"/>
    <col min="6416" max="6416" width="12.28515625" style="183" customWidth="1"/>
    <col min="6417" max="6417" width="8.42578125" style="183" customWidth="1"/>
    <col min="6418" max="6418" width="30.7109375" style="183" customWidth="1"/>
    <col min="6419" max="6419" width="11.85546875" style="183" customWidth="1"/>
    <col min="6420" max="6420" width="10" style="183" customWidth="1"/>
    <col min="6421" max="6656" width="11.42578125" style="183"/>
    <col min="6657" max="6667" width="0" style="183" hidden="1" customWidth="1"/>
    <col min="6668" max="6668" width="30.7109375" style="183" customWidth="1"/>
    <col min="6669" max="6669" width="19.28515625" style="183" customWidth="1"/>
    <col min="6670" max="6670" width="17.85546875" style="183" customWidth="1"/>
    <col min="6671" max="6671" width="10.7109375" style="183" customWidth="1"/>
    <col min="6672" max="6672" width="12.28515625" style="183" customWidth="1"/>
    <col min="6673" max="6673" width="8.42578125" style="183" customWidth="1"/>
    <col min="6674" max="6674" width="30.7109375" style="183" customWidth="1"/>
    <col min="6675" max="6675" width="11.85546875" style="183" customWidth="1"/>
    <col min="6676" max="6676" width="10" style="183" customWidth="1"/>
    <col min="6677" max="6912" width="11.42578125" style="183"/>
    <col min="6913" max="6923" width="0" style="183" hidden="1" customWidth="1"/>
    <col min="6924" max="6924" width="30.7109375" style="183" customWidth="1"/>
    <col min="6925" max="6925" width="19.28515625" style="183" customWidth="1"/>
    <col min="6926" max="6926" width="17.85546875" style="183" customWidth="1"/>
    <col min="6927" max="6927" width="10.7109375" style="183" customWidth="1"/>
    <col min="6928" max="6928" width="12.28515625" style="183" customWidth="1"/>
    <col min="6929" max="6929" width="8.42578125" style="183" customWidth="1"/>
    <col min="6930" max="6930" width="30.7109375" style="183" customWidth="1"/>
    <col min="6931" max="6931" width="11.85546875" style="183" customWidth="1"/>
    <col min="6932" max="6932" width="10" style="183" customWidth="1"/>
    <col min="6933" max="7168" width="11.42578125" style="183"/>
    <col min="7169" max="7179" width="0" style="183" hidden="1" customWidth="1"/>
    <col min="7180" max="7180" width="30.7109375" style="183" customWidth="1"/>
    <col min="7181" max="7181" width="19.28515625" style="183" customWidth="1"/>
    <col min="7182" max="7182" width="17.85546875" style="183" customWidth="1"/>
    <col min="7183" max="7183" width="10.7109375" style="183" customWidth="1"/>
    <col min="7184" max="7184" width="12.28515625" style="183" customWidth="1"/>
    <col min="7185" max="7185" width="8.42578125" style="183" customWidth="1"/>
    <col min="7186" max="7186" width="30.7109375" style="183" customWidth="1"/>
    <col min="7187" max="7187" width="11.85546875" style="183" customWidth="1"/>
    <col min="7188" max="7188" width="10" style="183" customWidth="1"/>
    <col min="7189" max="7424" width="11.42578125" style="183"/>
    <col min="7425" max="7435" width="0" style="183" hidden="1" customWidth="1"/>
    <col min="7436" max="7436" width="30.7109375" style="183" customWidth="1"/>
    <col min="7437" max="7437" width="19.28515625" style="183" customWidth="1"/>
    <col min="7438" max="7438" width="17.85546875" style="183" customWidth="1"/>
    <col min="7439" max="7439" width="10.7109375" style="183" customWidth="1"/>
    <col min="7440" max="7440" width="12.28515625" style="183" customWidth="1"/>
    <col min="7441" max="7441" width="8.42578125" style="183" customWidth="1"/>
    <col min="7442" max="7442" width="30.7109375" style="183" customWidth="1"/>
    <col min="7443" max="7443" width="11.85546875" style="183" customWidth="1"/>
    <col min="7444" max="7444" width="10" style="183" customWidth="1"/>
    <col min="7445" max="7680" width="11.42578125" style="183"/>
    <col min="7681" max="7691" width="0" style="183" hidden="1" customWidth="1"/>
    <col min="7692" max="7692" width="30.7109375" style="183" customWidth="1"/>
    <col min="7693" max="7693" width="19.28515625" style="183" customWidth="1"/>
    <col min="7694" max="7694" width="17.85546875" style="183" customWidth="1"/>
    <col min="7695" max="7695" width="10.7109375" style="183" customWidth="1"/>
    <col min="7696" max="7696" width="12.28515625" style="183" customWidth="1"/>
    <col min="7697" max="7697" width="8.42578125" style="183" customWidth="1"/>
    <col min="7698" max="7698" width="30.7109375" style="183" customWidth="1"/>
    <col min="7699" max="7699" width="11.85546875" style="183" customWidth="1"/>
    <col min="7700" max="7700" width="10" style="183" customWidth="1"/>
    <col min="7701" max="7936" width="11.42578125" style="183"/>
    <col min="7937" max="7947" width="0" style="183" hidden="1" customWidth="1"/>
    <col min="7948" max="7948" width="30.7109375" style="183" customWidth="1"/>
    <col min="7949" max="7949" width="19.28515625" style="183" customWidth="1"/>
    <col min="7950" max="7950" width="17.85546875" style="183" customWidth="1"/>
    <col min="7951" max="7951" width="10.7109375" style="183" customWidth="1"/>
    <col min="7952" max="7952" width="12.28515625" style="183" customWidth="1"/>
    <col min="7953" max="7953" width="8.42578125" style="183" customWidth="1"/>
    <col min="7954" max="7954" width="30.7109375" style="183" customWidth="1"/>
    <col min="7955" max="7955" width="11.85546875" style="183" customWidth="1"/>
    <col min="7956" max="7956" width="10" style="183" customWidth="1"/>
    <col min="7957" max="8192" width="11.42578125" style="183"/>
    <col min="8193" max="8203" width="0" style="183" hidden="1" customWidth="1"/>
    <col min="8204" max="8204" width="30.7109375" style="183" customWidth="1"/>
    <col min="8205" max="8205" width="19.28515625" style="183" customWidth="1"/>
    <col min="8206" max="8206" width="17.85546875" style="183" customWidth="1"/>
    <col min="8207" max="8207" width="10.7109375" style="183" customWidth="1"/>
    <col min="8208" max="8208" width="12.28515625" style="183" customWidth="1"/>
    <col min="8209" max="8209" width="8.42578125" style="183" customWidth="1"/>
    <col min="8210" max="8210" width="30.7109375" style="183" customWidth="1"/>
    <col min="8211" max="8211" width="11.85546875" style="183" customWidth="1"/>
    <col min="8212" max="8212" width="10" style="183" customWidth="1"/>
    <col min="8213" max="8448" width="11.42578125" style="183"/>
    <col min="8449" max="8459" width="0" style="183" hidden="1" customWidth="1"/>
    <col min="8460" max="8460" width="30.7109375" style="183" customWidth="1"/>
    <col min="8461" max="8461" width="19.28515625" style="183" customWidth="1"/>
    <col min="8462" max="8462" width="17.85546875" style="183" customWidth="1"/>
    <col min="8463" max="8463" width="10.7109375" style="183" customWidth="1"/>
    <col min="8464" max="8464" width="12.28515625" style="183" customWidth="1"/>
    <col min="8465" max="8465" width="8.42578125" style="183" customWidth="1"/>
    <col min="8466" max="8466" width="30.7109375" style="183" customWidth="1"/>
    <col min="8467" max="8467" width="11.85546875" style="183" customWidth="1"/>
    <col min="8468" max="8468" width="10" style="183" customWidth="1"/>
    <col min="8469" max="8704" width="11.42578125" style="183"/>
    <col min="8705" max="8715" width="0" style="183" hidden="1" customWidth="1"/>
    <col min="8716" max="8716" width="30.7109375" style="183" customWidth="1"/>
    <col min="8717" max="8717" width="19.28515625" style="183" customWidth="1"/>
    <col min="8718" max="8718" width="17.85546875" style="183" customWidth="1"/>
    <col min="8719" max="8719" width="10.7109375" style="183" customWidth="1"/>
    <col min="8720" max="8720" width="12.28515625" style="183" customWidth="1"/>
    <col min="8721" max="8721" width="8.42578125" style="183" customWidth="1"/>
    <col min="8722" max="8722" width="30.7109375" style="183" customWidth="1"/>
    <col min="8723" max="8723" width="11.85546875" style="183" customWidth="1"/>
    <col min="8724" max="8724" width="10" style="183" customWidth="1"/>
    <col min="8725" max="8960" width="11.42578125" style="183"/>
    <col min="8961" max="8971" width="0" style="183" hidden="1" customWidth="1"/>
    <col min="8972" max="8972" width="30.7109375" style="183" customWidth="1"/>
    <col min="8973" max="8973" width="19.28515625" style="183" customWidth="1"/>
    <col min="8974" max="8974" width="17.85546875" style="183" customWidth="1"/>
    <col min="8975" max="8975" width="10.7109375" style="183" customWidth="1"/>
    <col min="8976" max="8976" width="12.28515625" style="183" customWidth="1"/>
    <col min="8977" max="8977" width="8.42578125" style="183" customWidth="1"/>
    <col min="8978" max="8978" width="30.7109375" style="183" customWidth="1"/>
    <col min="8979" max="8979" width="11.85546875" style="183" customWidth="1"/>
    <col min="8980" max="8980" width="10" style="183" customWidth="1"/>
    <col min="8981" max="9216" width="11.42578125" style="183"/>
    <col min="9217" max="9227" width="0" style="183" hidden="1" customWidth="1"/>
    <col min="9228" max="9228" width="30.7109375" style="183" customWidth="1"/>
    <col min="9229" max="9229" width="19.28515625" style="183" customWidth="1"/>
    <col min="9230" max="9230" width="17.85546875" style="183" customWidth="1"/>
    <col min="9231" max="9231" width="10.7109375" style="183" customWidth="1"/>
    <col min="9232" max="9232" width="12.28515625" style="183" customWidth="1"/>
    <col min="9233" max="9233" width="8.42578125" style="183" customWidth="1"/>
    <col min="9234" max="9234" width="30.7109375" style="183" customWidth="1"/>
    <col min="9235" max="9235" width="11.85546875" style="183" customWidth="1"/>
    <col min="9236" max="9236" width="10" style="183" customWidth="1"/>
    <col min="9237" max="9472" width="11.42578125" style="183"/>
    <col min="9473" max="9483" width="0" style="183" hidden="1" customWidth="1"/>
    <col min="9484" max="9484" width="30.7109375" style="183" customWidth="1"/>
    <col min="9485" max="9485" width="19.28515625" style="183" customWidth="1"/>
    <col min="9486" max="9486" width="17.85546875" style="183" customWidth="1"/>
    <col min="9487" max="9487" width="10.7109375" style="183" customWidth="1"/>
    <col min="9488" max="9488" width="12.28515625" style="183" customWidth="1"/>
    <col min="9489" max="9489" width="8.42578125" style="183" customWidth="1"/>
    <col min="9490" max="9490" width="30.7109375" style="183" customWidth="1"/>
    <col min="9491" max="9491" width="11.85546875" style="183" customWidth="1"/>
    <col min="9492" max="9492" width="10" style="183" customWidth="1"/>
    <col min="9493" max="9728" width="11.42578125" style="183"/>
    <col min="9729" max="9739" width="0" style="183" hidden="1" customWidth="1"/>
    <col min="9740" max="9740" width="30.7109375" style="183" customWidth="1"/>
    <col min="9741" max="9741" width="19.28515625" style="183" customWidth="1"/>
    <col min="9742" max="9742" width="17.85546875" style="183" customWidth="1"/>
    <col min="9743" max="9743" width="10.7109375" style="183" customWidth="1"/>
    <col min="9744" max="9744" width="12.28515625" style="183" customWidth="1"/>
    <col min="9745" max="9745" width="8.42578125" style="183" customWidth="1"/>
    <col min="9746" max="9746" width="30.7109375" style="183" customWidth="1"/>
    <col min="9747" max="9747" width="11.85546875" style="183" customWidth="1"/>
    <col min="9748" max="9748" width="10" style="183" customWidth="1"/>
    <col min="9749" max="9984" width="11.42578125" style="183"/>
    <col min="9985" max="9995" width="0" style="183" hidden="1" customWidth="1"/>
    <col min="9996" max="9996" width="30.7109375" style="183" customWidth="1"/>
    <col min="9997" max="9997" width="19.28515625" style="183" customWidth="1"/>
    <col min="9998" max="9998" width="17.85546875" style="183" customWidth="1"/>
    <col min="9999" max="9999" width="10.7109375" style="183" customWidth="1"/>
    <col min="10000" max="10000" width="12.28515625" style="183" customWidth="1"/>
    <col min="10001" max="10001" width="8.42578125" style="183" customWidth="1"/>
    <col min="10002" max="10002" width="30.7109375" style="183" customWidth="1"/>
    <col min="10003" max="10003" width="11.85546875" style="183" customWidth="1"/>
    <col min="10004" max="10004" width="10" style="183" customWidth="1"/>
    <col min="10005" max="10240" width="11.42578125" style="183"/>
    <col min="10241" max="10251" width="0" style="183" hidden="1" customWidth="1"/>
    <col min="10252" max="10252" width="30.7109375" style="183" customWidth="1"/>
    <col min="10253" max="10253" width="19.28515625" style="183" customWidth="1"/>
    <col min="10254" max="10254" width="17.85546875" style="183" customWidth="1"/>
    <col min="10255" max="10255" width="10.7109375" style="183" customWidth="1"/>
    <col min="10256" max="10256" width="12.28515625" style="183" customWidth="1"/>
    <col min="10257" max="10257" width="8.42578125" style="183" customWidth="1"/>
    <col min="10258" max="10258" width="30.7109375" style="183" customWidth="1"/>
    <col min="10259" max="10259" width="11.85546875" style="183" customWidth="1"/>
    <col min="10260" max="10260" width="10" style="183" customWidth="1"/>
    <col min="10261" max="10496" width="11.42578125" style="183"/>
    <col min="10497" max="10507" width="0" style="183" hidden="1" customWidth="1"/>
    <col min="10508" max="10508" width="30.7109375" style="183" customWidth="1"/>
    <col min="10509" max="10509" width="19.28515625" style="183" customWidth="1"/>
    <col min="10510" max="10510" width="17.85546875" style="183" customWidth="1"/>
    <col min="10511" max="10511" width="10.7109375" style="183" customWidth="1"/>
    <col min="10512" max="10512" width="12.28515625" style="183" customWidth="1"/>
    <col min="10513" max="10513" width="8.42578125" style="183" customWidth="1"/>
    <col min="10514" max="10514" width="30.7109375" style="183" customWidth="1"/>
    <col min="10515" max="10515" width="11.85546875" style="183" customWidth="1"/>
    <col min="10516" max="10516" width="10" style="183" customWidth="1"/>
    <col min="10517" max="10752" width="11.42578125" style="183"/>
    <col min="10753" max="10763" width="0" style="183" hidden="1" customWidth="1"/>
    <col min="10764" max="10764" width="30.7109375" style="183" customWidth="1"/>
    <col min="10765" max="10765" width="19.28515625" style="183" customWidth="1"/>
    <col min="10766" max="10766" width="17.85546875" style="183" customWidth="1"/>
    <col min="10767" max="10767" width="10.7109375" style="183" customWidth="1"/>
    <col min="10768" max="10768" width="12.28515625" style="183" customWidth="1"/>
    <col min="10769" max="10769" width="8.42578125" style="183" customWidth="1"/>
    <col min="10770" max="10770" width="30.7109375" style="183" customWidth="1"/>
    <col min="10771" max="10771" width="11.85546875" style="183" customWidth="1"/>
    <col min="10772" max="10772" width="10" style="183" customWidth="1"/>
    <col min="10773" max="11008" width="11.42578125" style="183"/>
    <col min="11009" max="11019" width="0" style="183" hidden="1" customWidth="1"/>
    <col min="11020" max="11020" width="30.7109375" style="183" customWidth="1"/>
    <col min="11021" max="11021" width="19.28515625" style="183" customWidth="1"/>
    <col min="11022" max="11022" width="17.85546875" style="183" customWidth="1"/>
    <col min="11023" max="11023" width="10.7109375" style="183" customWidth="1"/>
    <col min="11024" max="11024" width="12.28515625" style="183" customWidth="1"/>
    <col min="11025" max="11025" width="8.42578125" style="183" customWidth="1"/>
    <col min="11026" max="11026" width="30.7109375" style="183" customWidth="1"/>
    <col min="11027" max="11027" width="11.85546875" style="183" customWidth="1"/>
    <col min="11028" max="11028" width="10" style="183" customWidth="1"/>
    <col min="11029" max="11264" width="11.42578125" style="183"/>
    <col min="11265" max="11275" width="0" style="183" hidden="1" customWidth="1"/>
    <col min="11276" max="11276" width="30.7109375" style="183" customWidth="1"/>
    <col min="11277" max="11277" width="19.28515625" style="183" customWidth="1"/>
    <col min="11278" max="11278" width="17.85546875" style="183" customWidth="1"/>
    <col min="11279" max="11279" width="10.7109375" style="183" customWidth="1"/>
    <col min="11280" max="11280" width="12.28515625" style="183" customWidth="1"/>
    <col min="11281" max="11281" width="8.42578125" style="183" customWidth="1"/>
    <col min="11282" max="11282" width="30.7109375" style="183" customWidth="1"/>
    <col min="11283" max="11283" width="11.85546875" style="183" customWidth="1"/>
    <col min="11284" max="11284" width="10" style="183" customWidth="1"/>
    <col min="11285" max="11520" width="11.42578125" style="183"/>
    <col min="11521" max="11531" width="0" style="183" hidden="1" customWidth="1"/>
    <col min="11532" max="11532" width="30.7109375" style="183" customWidth="1"/>
    <col min="11533" max="11533" width="19.28515625" style="183" customWidth="1"/>
    <col min="11534" max="11534" width="17.85546875" style="183" customWidth="1"/>
    <col min="11535" max="11535" width="10.7109375" style="183" customWidth="1"/>
    <col min="11536" max="11536" width="12.28515625" style="183" customWidth="1"/>
    <col min="11537" max="11537" width="8.42578125" style="183" customWidth="1"/>
    <col min="11538" max="11538" width="30.7109375" style="183" customWidth="1"/>
    <col min="11539" max="11539" width="11.85546875" style="183" customWidth="1"/>
    <col min="11540" max="11540" width="10" style="183" customWidth="1"/>
    <col min="11541" max="11776" width="11.42578125" style="183"/>
    <col min="11777" max="11787" width="0" style="183" hidden="1" customWidth="1"/>
    <col min="11788" max="11788" width="30.7109375" style="183" customWidth="1"/>
    <col min="11789" max="11789" width="19.28515625" style="183" customWidth="1"/>
    <col min="11790" max="11790" width="17.85546875" style="183" customWidth="1"/>
    <col min="11791" max="11791" width="10.7109375" style="183" customWidth="1"/>
    <col min="11792" max="11792" width="12.28515625" style="183" customWidth="1"/>
    <col min="11793" max="11793" width="8.42578125" style="183" customWidth="1"/>
    <col min="11794" max="11794" width="30.7109375" style="183" customWidth="1"/>
    <col min="11795" max="11795" width="11.85546875" style="183" customWidth="1"/>
    <col min="11796" max="11796" width="10" style="183" customWidth="1"/>
    <col min="11797" max="12032" width="11.42578125" style="183"/>
    <col min="12033" max="12043" width="0" style="183" hidden="1" customWidth="1"/>
    <col min="12044" max="12044" width="30.7109375" style="183" customWidth="1"/>
    <col min="12045" max="12045" width="19.28515625" style="183" customWidth="1"/>
    <col min="12046" max="12046" width="17.85546875" style="183" customWidth="1"/>
    <col min="12047" max="12047" width="10.7109375" style="183" customWidth="1"/>
    <col min="12048" max="12048" width="12.28515625" style="183" customWidth="1"/>
    <col min="12049" max="12049" width="8.42578125" style="183" customWidth="1"/>
    <col min="12050" max="12050" width="30.7109375" style="183" customWidth="1"/>
    <col min="12051" max="12051" width="11.85546875" style="183" customWidth="1"/>
    <col min="12052" max="12052" width="10" style="183" customWidth="1"/>
    <col min="12053" max="12288" width="11.42578125" style="183"/>
    <col min="12289" max="12299" width="0" style="183" hidden="1" customWidth="1"/>
    <col min="12300" max="12300" width="30.7109375" style="183" customWidth="1"/>
    <col min="12301" max="12301" width="19.28515625" style="183" customWidth="1"/>
    <col min="12302" max="12302" width="17.85546875" style="183" customWidth="1"/>
    <col min="12303" max="12303" width="10.7109375" style="183" customWidth="1"/>
    <col min="12304" max="12304" width="12.28515625" style="183" customWidth="1"/>
    <col min="12305" max="12305" width="8.42578125" style="183" customWidth="1"/>
    <col min="12306" max="12306" width="30.7109375" style="183" customWidth="1"/>
    <col min="12307" max="12307" width="11.85546875" style="183" customWidth="1"/>
    <col min="12308" max="12308" width="10" style="183" customWidth="1"/>
    <col min="12309" max="12544" width="11.42578125" style="183"/>
    <col min="12545" max="12555" width="0" style="183" hidden="1" customWidth="1"/>
    <col min="12556" max="12556" width="30.7109375" style="183" customWidth="1"/>
    <col min="12557" max="12557" width="19.28515625" style="183" customWidth="1"/>
    <col min="12558" max="12558" width="17.85546875" style="183" customWidth="1"/>
    <col min="12559" max="12559" width="10.7109375" style="183" customWidth="1"/>
    <col min="12560" max="12560" width="12.28515625" style="183" customWidth="1"/>
    <col min="12561" max="12561" width="8.42578125" style="183" customWidth="1"/>
    <col min="12562" max="12562" width="30.7109375" style="183" customWidth="1"/>
    <col min="12563" max="12563" width="11.85546875" style="183" customWidth="1"/>
    <col min="12564" max="12564" width="10" style="183" customWidth="1"/>
    <col min="12565" max="12800" width="11.42578125" style="183"/>
    <col min="12801" max="12811" width="0" style="183" hidden="1" customWidth="1"/>
    <col min="12812" max="12812" width="30.7109375" style="183" customWidth="1"/>
    <col min="12813" max="12813" width="19.28515625" style="183" customWidth="1"/>
    <col min="12814" max="12814" width="17.85546875" style="183" customWidth="1"/>
    <col min="12815" max="12815" width="10.7109375" style="183" customWidth="1"/>
    <col min="12816" max="12816" width="12.28515625" style="183" customWidth="1"/>
    <col min="12817" max="12817" width="8.42578125" style="183" customWidth="1"/>
    <col min="12818" max="12818" width="30.7109375" style="183" customWidth="1"/>
    <col min="12819" max="12819" width="11.85546875" style="183" customWidth="1"/>
    <col min="12820" max="12820" width="10" style="183" customWidth="1"/>
    <col min="12821" max="13056" width="11.42578125" style="183"/>
    <col min="13057" max="13067" width="0" style="183" hidden="1" customWidth="1"/>
    <col min="13068" max="13068" width="30.7109375" style="183" customWidth="1"/>
    <col min="13069" max="13069" width="19.28515625" style="183" customWidth="1"/>
    <col min="13070" max="13070" width="17.85546875" style="183" customWidth="1"/>
    <col min="13071" max="13071" width="10.7109375" style="183" customWidth="1"/>
    <col min="13072" max="13072" width="12.28515625" style="183" customWidth="1"/>
    <col min="13073" max="13073" width="8.42578125" style="183" customWidth="1"/>
    <col min="13074" max="13074" width="30.7109375" style="183" customWidth="1"/>
    <col min="13075" max="13075" width="11.85546875" style="183" customWidth="1"/>
    <col min="13076" max="13076" width="10" style="183" customWidth="1"/>
    <col min="13077" max="13312" width="11.42578125" style="183"/>
    <col min="13313" max="13323" width="0" style="183" hidden="1" customWidth="1"/>
    <col min="13324" max="13324" width="30.7109375" style="183" customWidth="1"/>
    <col min="13325" max="13325" width="19.28515625" style="183" customWidth="1"/>
    <col min="13326" max="13326" width="17.85546875" style="183" customWidth="1"/>
    <col min="13327" max="13327" width="10.7109375" style="183" customWidth="1"/>
    <col min="13328" max="13328" width="12.28515625" style="183" customWidth="1"/>
    <col min="13329" max="13329" width="8.42578125" style="183" customWidth="1"/>
    <col min="13330" max="13330" width="30.7109375" style="183" customWidth="1"/>
    <col min="13331" max="13331" width="11.85546875" style="183" customWidth="1"/>
    <col min="13332" max="13332" width="10" style="183" customWidth="1"/>
    <col min="13333" max="13568" width="11.42578125" style="183"/>
    <col min="13569" max="13579" width="0" style="183" hidden="1" customWidth="1"/>
    <col min="13580" max="13580" width="30.7109375" style="183" customWidth="1"/>
    <col min="13581" max="13581" width="19.28515625" style="183" customWidth="1"/>
    <col min="13582" max="13582" width="17.85546875" style="183" customWidth="1"/>
    <col min="13583" max="13583" width="10.7109375" style="183" customWidth="1"/>
    <col min="13584" max="13584" width="12.28515625" style="183" customWidth="1"/>
    <col min="13585" max="13585" width="8.42578125" style="183" customWidth="1"/>
    <col min="13586" max="13586" width="30.7109375" style="183" customWidth="1"/>
    <col min="13587" max="13587" width="11.85546875" style="183" customWidth="1"/>
    <col min="13588" max="13588" width="10" style="183" customWidth="1"/>
    <col min="13589" max="13824" width="11.42578125" style="183"/>
    <col min="13825" max="13835" width="0" style="183" hidden="1" customWidth="1"/>
    <col min="13836" max="13836" width="30.7109375" style="183" customWidth="1"/>
    <col min="13837" max="13837" width="19.28515625" style="183" customWidth="1"/>
    <col min="13838" max="13838" width="17.85546875" style="183" customWidth="1"/>
    <col min="13839" max="13839" width="10.7109375" style="183" customWidth="1"/>
    <col min="13840" max="13840" width="12.28515625" style="183" customWidth="1"/>
    <col min="13841" max="13841" width="8.42578125" style="183" customWidth="1"/>
    <col min="13842" max="13842" width="30.7109375" style="183" customWidth="1"/>
    <col min="13843" max="13843" width="11.85546875" style="183" customWidth="1"/>
    <col min="13844" max="13844" width="10" style="183" customWidth="1"/>
    <col min="13845" max="14080" width="11.42578125" style="183"/>
    <col min="14081" max="14091" width="0" style="183" hidden="1" customWidth="1"/>
    <col min="14092" max="14092" width="30.7109375" style="183" customWidth="1"/>
    <col min="14093" max="14093" width="19.28515625" style="183" customWidth="1"/>
    <col min="14094" max="14094" width="17.85546875" style="183" customWidth="1"/>
    <col min="14095" max="14095" width="10.7109375" style="183" customWidth="1"/>
    <col min="14096" max="14096" width="12.28515625" style="183" customWidth="1"/>
    <col min="14097" max="14097" width="8.42578125" style="183" customWidth="1"/>
    <col min="14098" max="14098" width="30.7109375" style="183" customWidth="1"/>
    <col min="14099" max="14099" width="11.85546875" style="183" customWidth="1"/>
    <col min="14100" max="14100" width="10" style="183" customWidth="1"/>
    <col min="14101" max="14336" width="11.42578125" style="183"/>
    <col min="14337" max="14347" width="0" style="183" hidden="1" customWidth="1"/>
    <col min="14348" max="14348" width="30.7109375" style="183" customWidth="1"/>
    <col min="14349" max="14349" width="19.28515625" style="183" customWidth="1"/>
    <col min="14350" max="14350" width="17.85546875" style="183" customWidth="1"/>
    <col min="14351" max="14351" width="10.7109375" style="183" customWidth="1"/>
    <col min="14352" max="14352" width="12.28515625" style="183" customWidth="1"/>
    <col min="14353" max="14353" width="8.42578125" style="183" customWidth="1"/>
    <col min="14354" max="14354" width="30.7109375" style="183" customWidth="1"/>
    <col min="14355" max="14355" width="11.85546875" style="183" customWidth="1"/>
    <col min="14356" max="14356" width="10" style="183" customWidth="1"/>
    <col min="14357" max="14592" width="11.42578125" style="183"/>
    <col min="14593" max="14603" width="0" style="183" hidden="1" customWidth="1"/>
    <col min="14604" max="14604" width="30.7109375" style="183" customWidth="1"/>
    <col min="14605" max="14605" width="19.28515625" style="183" customWidth="1"/>
    <col min="14606" max="14606" width="17.85546875" style="183" customWidth="1"/>
    <col min="14607" max="14607" width="10.7109375" style="183" customWidth="1"/>
    <col min="14608" max="14608" width="12.28515625" style="183" customWidth="1"/>
    <col min="14609" max="14609" width="8.42578125" style="183" customWidth="1"/>
    <col min="14610" max="14610" width="30.7109375" style="183" customWidth="1"/>
    <col min="14611" max="14611" width="11.85546875" style="183" customWidth="1"/>
    <col min="14612" max="14612" width="10" style="183" customWidth="1"/>
    <col min="14613" max="14848" width="11.42578125" style="183"/>
    <col min="14849" max="14859" width="0" style="183" hidden="1" customWidth="1"/>
    <col min="14860" max="14860" width="30.7109375" style="183" customWidth="1"/>
    <col min="14861" max="14861" width="19.28515625" style="183" customWidth="1"/>
    <col min="14862" max="14862" width="17.85546875" style="183" customWidth="1"/>
    <col min="14863" max="14863" width="10.7109375" style="183" customWidth="1"/>
    <col min="14864" max="14864" width="12.28515625" style="183" customWidth="1"/>
    <col min="14865" max="14865" width="8.42578125" style="183" customWidth="1"/>
    <col min="14866" max="14866" width="30.7109375" style="183" customWidth="1"/>
    <col min="14867" max="14867" width="11.85546875" style="183" customWidth="1"/>
    <col min="14868" max="14868" width="10" style="183" customWidth="1"/>
    <col min="14869" max="15104" width="11.42578125" style="183"/>
    <col min="15105" max="15115" width="0" style="183" hidden="1" customWidth="1"/>
    <col min="15116" max="15116" width="30.7109375" style="183" customWidth="1"/>
    <col min="15117" max="15117" width="19.28515625" style="183" customWidth="1"/>
    <col min="15118" max="15118" width="17.85546875" style="183" customWidth="1"/>
    <col min="15119" max="15119" width="10.7109375" style="183" customWidth="1"/>
    <col min="15120" max="15120" width="12.28515625" style="183" customWidth="1"/>
    <col min="15121" max="15121" width="8.42578125" style="183" customWidth="1"/>
    <col min="15122" max="15122" width="30.7109375" style="183" customWidth="1"/>
    <col min="15123" max="15123" width="11.85546875" style="183" customWidth="1"/>
    <col min="15124" max="15124" width="10" style="183" customWidth="1"/>
    <col min="15125" max="15360" width="11.42578125" style="183"/>
    <col min="15361" max="15371" width="0" style="183" hidden="1" customWidth="1"/>
    <col min="15372" max="15372" width="30.7109375" style="183" customWidth="1"/>
    <col min="15373" max="15373" width="19.28515625" style="183" customWidth="1"/>
    <col min="15374" max="15374" width="17.85546875" style="183" customWidth="1"/>
    <col min="15375" max="15375" width="10.7109375" style="183" customWidth="1"/>
    <col min="15376" max="15376" width="12.28515625" style="183" customWidth="1"/>
    <col min="15377" max="15377" width="8.42578125" style="183" customWidth="1"/>
    <col min="15378" max="15378" width="30.7109375" style="183" customWidth="1"/>
    <col min="15379" max="15379" width="11.85546875" style="183" customWidth="1"/>
    <col min="15380" max="15380" width="10" style="183" customWidth="1"/>
    <col min="15381" max="15616" width="11.42578125" style="183"/>
    <col min="15617" max="15627" width="0" style="183" hidden="1" customWidth="1"/>
    <col min="15628" max="15628" width="30.7109375" style="183" customWidth="1"/>
    <col min="15629" max="15629" width="19.28515625" style="183" customWidth="1"/>
    <col min="15630" max="15630" width="17.85546875" style="183" customWidth="1"/>
    <col min="15631" max="15631" width="10.7109375" style="183" customWidth="1"/>
    <col min="15632" max="15632" width="12.28515625" style="183" customWidth="1"/>
    <col min="15633" max="15633" width="8.42578125" style="183" customWidth="1"/>
    <col min="15634" max="15634" width="30.7109375" style="183" customWidth="1"/>
    <col min="15635" max="15635" width="11.85546875" style="183" customWidth="1"/>
    <col min="15636" max="15636" width="10" style="183" customWidth="1"/>
    <col min="15637" max="15872" width="11.42578125" style="183"/>
    <col min="15873" max="15883" width="0" style="183" hidden="1" customWidth="1"/>
    <col min="15884" max="15884" width="30.7109375" style="183" customWidth="1"/>
    <col min="15885" max="15885" width="19.28515625" style="183" customWidth="1"/>
    <col min="15886" max="15886" width="17.85546875" style="183" customWidth="1"/>
    <col min="15887" max="15887" width="10.7109375" style="183" customWidth="1"/>
    <col min="15888" max="15888" width="12.28515625" style="183" customWidth="1"/>
    <col min="15889" max="15889" width="8.42578125" style="183" customWidth="1"/>
    <col min="15890" max="15890" width="30.7109375" style="183" customWidth="1"/>
    <col min="15891" max="15891" width="11.85546875" style="183" customWidth="1"/>
    <col min="15892" max="15892" width="10" style="183" customWidth="1"/>
    <col min="15893" max="16128" width="11.42578125" style="183"/>
    <col min="16129" max="16139" width="0" style="183" hidden="1" customWidth="1"/>
    <col min="16140" max="16140" width="30.7109375" style="183" customWidth="1"/>
    <col min="16141" max="16141" width="19.28515625" style="183" customWidth="1"/>
    <col min="16142" max="16142" width="17.85546875" style="183" customWidth="1"/>
    <col min="16143" max="16143" width="10.7109375" style="183" customWidth="1"/>
    <col min="16144" max="16144" width="12.28515625" style="183" customWidth="1"/>
    <col min="16145" max="16145" width="8.42578125" style="183" customWidth="1"/>
    <col min="16146" max="16146" width="30.7109375" style="183" customWidth="1"/>
    <col min="16147" max="16147" width="11.85546875" style="183" customWidth="1"/>
    <col min="16148" max="16148" width="10" style="183" customWidth="1"/>
    <col min="16149" max="16384" width="11.42578125" style="183"/>
  </cols>
  <sheetData>
    <row r="1" spans="1:18" ht="25.5" customHeight="1"/>
    <row r="2" spans="1:18" ht="20.25">
      <c r="A2" s="186" t="s">
        <v>203</v>
      </c>
      <c r="B2" s="187"/>
      <c r="C2" s="187"/>
      <c r="D2" s="187"/>
      <c r="E2" s="187"/>
      <c r="F2" s="187"/>
      <c r="G2" s="187"/>
      <c r="L2" s="466" t="s">
        <v>204</v>
      </c>
      <c r="M2" s="466"/>
      <c r="N2" s="466"/>
      <c r="O2" s="466"/>
      <c r="P2" s="466"/>
    </row>
    <row r="3" spans="1:18" ht="23.25">
      <c r="A3" s="186"/>
      <c r="B3" s="187"/>
      <c r="C3" s="187"/>
      <c r="D3" s="187"/>
      <c r="E3" s="187"/>
      <c r="F3" s="187"/>
      <c r="G3" s="187"/>
      <c r="L3" s="188" t="s">
        <v>205</v>
      </c>
      <c r="M3" s="188"/>
      <c r="N3" s="189"/>
      <c r="O3" s="189"/>
      <c r="P3" s="189"/>
    </row>
    <row r="4" spans="1:18" ht="23.25">
      <c r="A4" s="186"/>
      <c r="B4" s="187"/>
      <c r="C4" s="187"/>
      <c r="D4" s="187"/>
      <c r="E4" s="187"/>
      <c r="F4" s="187"/>
      <c r="G4" s="187"/>
      <c r="L4" s="188"/>
    </row>
    <row r="5" spans="1:18">
      <c r="A5" s="190" t="s">
        <v>206</v>
      </c>
      <c r="B5" s="191">
        <v>4</v>
      </c>
      <c r="C5" s="192" t="e">
        <f>#REF!+B5</f>
        <v>#REF!</v>
      </c>
      <c r="D5" s="192"/>
      <c r="E5" s="192"/>
      <c r="F5" s="192"/>
      <c r="G5" s="192"/>
      <c r="H5" s="193"/>
      <c r="I5" s="194"/>
      <c r="J5" s="193"/>
      <c r="K5" s="193"/>
    </row>
    <row r="6" spans="1:18">
      <c r="A6" s="190" t="s">
        <v>199</v>
      </c>
      <c r="B6" s="195"/>
      <c r="D6" s="196"/>
      <c r="E6" s="182"/>
      <c r="F6" s="192"/>
      <c r="G6" s="192"/>
      <c r="H6" s="193"/>
      <c r="I6" s="194"/>
      <c r="J6" s="193"/>
      <c r="K6" s="193"/>
      <c r="L6" s="197" t="s">
        <v>207</v>
      </c>
      <c r="M6" s="237">
        <f>+'Cotización-análisis_auto'!N10</f>
        <v>0</v>
      </c>
      <c r="N6" s="197"/>
      <c r="O6" s="197"/>
      <c r="P6" s="197"/>
    </row>
    <row r="7" spans="1:18" ht="15.75">
      <c r="A7" s="199"/>
      <c r="B7" s="200"/>
      <c r="C7" s="192"/>
      <c r="D7" s="192"/>
      <c r="E7" s="192"/>
      <c r="F7" s="192"/>
      <c r="G7" s="192"/>
      <c r="H7" s="193"/>
      <c r="I7" s="194"/>
      <c r="J7" s="193"/>
      <c r="K7" s="193"/>
      <c r="L7" s="197" t="s">
        <v>208</v>
      </c>
      <c r="M7" s="198">
        <f>+Nombre_a</f>
        <v>0</v>
      </c>
      <c r="N7" s="184"/>
    </row>
    <row r="8" spans="1:18" ht="15">
      <c r="A8" s="201" t="s">
        <v>209</v>
      </c>
      <c r="B8" s="200">
        <f ca="1">TODAY()</f>
        <v>43763</v>
      </c>
      <c r="C8" s="192"/>
      <c r="D8" s="192"/>
      <c r="E8" s="192"/>
      <c r="F8" s="192"/>
      <c r="G8" s="192"/>
      <c r="H8" s="193"/>
      <c r="I8" s="194"/>
      <c r="J8" s="193"/>
      <c r="K8" s="193"/>
      <c r="L8" s="184" t="s">
        <v>210</v>
      </c>
      <c r="M8" s="198">
        <f>+Cédula_a</f>
        <v>0</v>
      </c>
      <c r="N8" s="202"/>
      <c r="O8" s="203"/>
      <c r="P8" s="197"/>
    </row>
    <row r="9" spans="1:18" ht="15">
      <c r="A9" s="201" t="s">
        <v>211</v>
      </c>
      <c r="B9" s="190" t="e">
        <f ca="1">DATE(YEAR(B8),MONTH(B8)+H12,IF(DAY(B8)&gt;27,27,DAY(B8)))</f>
        <v>#REF!</v>
      </c>
      <c r="C9" s="192"/>
      <c r="D9" s="192"/>
      <c r="E9" s="192"/>
      <c r="F9" s="192"/>
      <c r="G9" s="192"/>
      <c r="H9" s="193"/>
      <c r="I9" s="194"/>
      <c r="J9" s="193"/>
      <c r="K9" s="193"/>
      <c r="L9" s="184" t="s">
        <v>212</v>
      </c>
      <c r="M9" s="235" t="s">
        <v>239</v>
      </c>
      <c r="N9" s="204"/>
      <c r="O9" s="204"/>
      <c r="P9" s="204"/>
      <c r="Q9" s="205"/>
    </row>
    <row r="10" spans="1:18" ht="15">
      <c r="A10" s="201"/>
      <c r="B10" s="190"/>
      <c r="C10" s="192"/>
      <c r="D10" s="192"/>
      <c r="E10" s="192"/>
      <c r="F10" s="192"/>
      <c r="G10" s="192"/>
      <c r="H10" s="193"/>
      <c r="I10" s="194"/>
      <c r="J10" s="193"/>
      <c r="K10" s="193"/>
      <c r="L10" s="197" t="s">
        <v>213</v>
      </c>
      <c r="M10" s="206" t="s">
        <v>214</v>
      </c>
      <c r="N10" s="197"/>
      <c r="O10" s="197"/>
      <c r="P10" s="197"/>
    </row>
    <row r="11" spans="1:18" ht="15.75" customHeight="1">
      <c r="A11" s="201"/>
      <c r="B11" s="192"/>
      <c r="C11" s="192"/>
      <c r="D11" s="192"/>
      <c r="E11" s="192"/>
      <c r="F11" s="192"/>
      <c r="G11" s="192"/>
      <c r="H11" s="193"/>
      <c r="I11" s="194"/>
      <c r="J11" s="193"/>
      <c r="K11" s="193"/>
      <c r="L11" s="197" t="s">
        <v>215</v>
      </c>
      <c r="M11" s="237">
        <f>+'Cotización-análisis_auto'!N8</f>
        <v>0</v>
      </c>
      <c r="N11" s="197"/>
      <c r="O11" s="207"/>
      <c r="P11" s="197"/>
    </row>
    <row r="12" spans="1:18" ht="14.25" customHeight="1">
      <c r="A12" s="208" t="s">
        <v>216</v>
      </c>
      <c r="B12" s="209"/>
      <c r="C12" s="190"/>
      <c r="D12" s="187"/>
      <c r="E12" s="187" t="s">
        <v>217</v>
      </c>
      <c r="F12" s="187"/>
      <c r="G12" s="200">
        <v>78</v>
      </c>
      <c r="H12" s="183" t="e">
        <f>IF(#REF!=2,1+G12+(G12/12),G12)</f>
        <v>#REF!</v>
      </c>
      <c r="I12" s="183">
        <v>0</v>
      </c>
      <c r="J12" s="183">
        <v>0.15</v>
      </c>
      <c r="L12" s="210" t="s">
        <v>218</v>
      </c>
      <c r="M12" s="207"/>
      <c r="N12" s="211"/>
      <c r="O12" s="203"/>
      <c r="P12" s="184"/>
    </row>
    <row r="13" spans="1:18" ht="14.25" customHeight="1">
      <c r="A13" s="208"/>
      <c r="B13" s="187"/>
      <c r="C13" s="209"/>
      <c r="D13" s="187"/>
      <c r="E13" s="187" t="s">
        <v>219</v>
      </c>
      <c r="F13" s="187"/>
      <c r="G13" s="187"/>
      <c r="I13" s="183">
        <v>45</v>
      </c>
      <c r="J13" s="183">
        <v>0.35</v>
      </c>
      <c r="L13" s="236" t="s">
        <v>240</v>
      </c>
      <c r="M13" s="238">
        <f>+'Cotización-análisis_auto'!C52</f>
        <v>0</v>
      </c>
      <c r="N13" s="212"/>
      <c r="O13" s="212"/>
      <c r="P13" s="212"/>
      <c r="Q13" s="194"/>
    </row>
    <row r="14" spans="1:18">
      <c r="A14" s="208" t="s">
        <v>220</v>
      </c>
      <c r="B14" s="209" t="e">
        <f ca="1">IF(MOD((MENSUALIDAD*100),2)&gt;0,((MENSUALIDAD*100)+0)/100,MENSUALIDAD)</f>
        <v>#REF!</v>
      </c>
      <c r="C14" s="209"/>
      <c r="D14" s="187"/>
      <c r="E14" s="187" t="s">
        <v>221</v>
      </c>
      <c r="F14" s="187"/>
      <c r="G14" s="187"/>
      <c r="I14" s="183">
        <v>50</v>
      </c>
      <c r="J14" s="183">
        <v>0.45</v>
      </c>
      <c r="L14" s="197" t="s">
        <v>222</v>
      </c>
      <c r="M14" s="213" t="e">
        <f>+'Cotización-análisis_auto'!H40</f>
        <v>#NUM!</v>
      </c>
      <c r="N14" s="184"/>
      <c r="O14" s="184"/>
      <c r="P14" s="184"/>
    </row>
    <row r="15" spans="1:18">
      <c r="A15" s="208"/>
      <c r="B15" s="209"/>
      <c r="C15" s="209"/>
      <c r="D15" s="187"/>
      <c r="E15" s="187"/>
      <c r="F15" s="187"/>
      <c r="G15" s="187"/>
      <c r="L15" s="197" t="s">
        <v>223</v>
      </c>
      <c r="M15" s="241">
        <f>+'Cotización-análisis_auto'!C54</f>
        <v>0</v>
      </c>
      <c r="N15" s="184"/>
      <c r="O15" s="184"/>
      <c r="P15" s="184"/>
    </row>
    <row r="16" spans="1:18" ht="15" customHeight="1">
      <c r="A16" s="187"/>
      <c r="B16" s="187"/>
      <c r="C16" s="209"/>
      <c r="D16" s="187"/>
      <c r="E16" s="187" t="s">
        <v>224</v>
      </c>
      <c r="F16" s="187"/>
      <c r="G16" s="187"/>
      <c r="H16" s="184"/>
      <c r="I16" s="183">
        <v>61</v>
      </c>
      <c r="J16" s="183">
        <v>0.7</v>
      </c>
      <c r="L16" s="184" t="s">
        <v>225</v>
      </c>
      <c r="M16" s="185" t="s">
        <v>226</v>
      </c>
      <c r="N16" s="184"/>
      <c r="O16" s="184"/>
      <c r="P16" s="184"/>
      <c r="R16" s="183" t="s">
        <v>227</v>
      </c>
    </row>
    <row r="17" spans="2:16" ht="22.5" customHeight="1">
      <c r="L17" s="184" t="s">
        <v>228</v>
      </c>
      <c r="M17" s="184"/>
      <c r="N17" s="184"/>
      <c r="O17" s="184"/>
      <c r="P17" s="240">
        <f>P23+P20</f>
        <v>0</v>
      </c>
    </row>
    <row r="18" spans="2:16">
      <c r="L18" s="184" t="s">
        <v>229</v>
      </c>
      <c r="M18" s="197" t="s">
        <v>230</v>
      </c>
      <c r="N18" s="214">
        <f>+'Cotización-análisis_auto'!H36</f>
        <v>0</v>
      </c>
      <c r="O18" s="184"/>
      <c r="P18" s="184"/>
    </row>
    <row r="19" spans="2:16">
      <c r="L19" s="184"/>
      <c r="M19" s="184" t="s">
        <v>231</v>
      </c>
      <c r="N19" s="214">
        <f>+'Cotización-análisis_auto'!C56</f>
        <v>0</v>
      </c>
      <c r="O19" s="184"/>
      <c r="P19" s="184"/>
    </row>
    <row r="20" spans="2:16">
      <c r="B20" s="214" t="e">
        <f>VLOOKUP(#REF!,$I$12:$J$16,2)*IF(#REF!=2,$G$12+INT($G$12/12),$G$12)*IF((INT((#REF!-#REF!-B12)/1000)-(#REF!-#REF!-B12)/1000)=0,INT((#REF!-#REF!-B12)/1000),INT((#REF!-#REF!-B12)/1000)+1)</f>
        <v>#REF!</v>
      </c>
      <c r="C20" s="214"/>
      <c r="L20" s="184"/>
      <c r="M20" s="184"/>
      <c r="N20" s="184"/>
      <c r="O20" s="184"/>
      <c r="P20" s="184">
        <f>N19+N18</f>
        <v>0</v>
      </c>
    </row>
    <row r="21" spans="2:16" ht="15.75">
      <c r="L21" s="215"/>
      <c r="M21" s="184"/>
    </row>
    <row r="22" spans="2:16" ht="15.75">
      <c r="L22" s="216" t="s">
        <v>232</v>
      </c>
      <c r="M22" s="217"/>
      <c r="N22" s="217"/>
      <c r="O22" s="218"/>
      <c r="P22" s="218" t="s">
        <v>233</v>
      </c>
    </row>
    <row r="23" spans="2:16" ht="19.5" customHeight="1">
      <c r="L23" s="242" t="s">
        <v>241</v>
      </c>
      <c r="M23" s="242">
        <f>+M7</f>
        <v>0</v>
      </c>
      <c r="N23" s="220"/>
      <c r="O23" s="221"/>
      <c r="P23" s="239">
        <f>+'Cotización-análisis_auto'!C46</f>
        <v>0</v>
      </c>
    </row>
    <row r="24" spans="2:16">
      <c r="L24" s="222"/>
      <c r="M24" s="223"/>
      <c r="N24" s="224"/>
      <c r="O24" s="224"/>
      <c r="P24" s="225"/>
    </row>
    <row r="25" spans="2:16">
      <c r="L25" s="200"/>
      <c r="M25" s="226"/>
      <c r="N25" s="187"/>
      <c r="O25" s="187"/>
      <c r="P25" s="209"/>
    </row>
    <row r="26" spans="2:16" ht="27.75" customHeight="1">
      <c r="L26" s="184"/>
      <c r="M26" s="184"/>
    </row>
    <row r="27" spans="2:16" ht="15" customHeight="1">
      <c r="L27" s="227" t="s">
        <v>234</v>
      </c>
      <c r="M27" s="228"/>
      <c r="N27" s="229" t="s">
        <v>235</v>
      </c>
      <c r="O27" s="230"/>
      <c r="P27" s="228"/>
    </row>
    <row r="28" spans="2:16" ht="17.25" customHeight="1">
      <c r="L28" s="222" t="s">
        <v>238</v>
      </c>
      <c r="M28" s="231"/>
      <c r="N28" s="232" t="s">
        <v>236</v>
      </c>
      <c r="O28" s="232"/>
      <c r="P28" s="233"/>
    </row>
    <row r="29" spans="2:16">
      <c r="L29" s="226"/>
      <c r="M29" s="219"/>
      <c r="N29" s="187"/>
      <c r="O29" s="187"/>
      <c r="P29" s="187"/>
    </row>
    <row r="30" spans="2:16">
      <c r="L30" s="234"/>
      <c r="M30" s="184"/>
      <c r="O30" s="183" t="s">
        <v>237</v>
      </c>
      <c r="P30" s="243">
        <f ca="1">TODAY()</f>
        <v>43763</v>
      </c>
    </row>
    <row r="31" spans="2:16">
      <c r="L31" s="234"/>
      <c r="M31" s="184"/>
    </row>
    <row r="32" spans="2:16">
      <c r="L32" s="234"/>
      <c r="M32" s="184"/>
    </row>
    <row r="33" spans="12:13">
      <c r="L33" s="234"/>
      <c r="M33" s="184"/>
    </row>
    <row r="34" spans="12:13">
      <c r="L34" s="234"/>
      <c r="M34" s="184"/>
    </row>
    <row r="35" spans="12:13" ht="315.75" customHeight="1">
      <c r="L35" s="234"/>
      <c r="M35" s="184"/>
    </row>
  </sheetData>
  <mergeCells count="1">
    <mergeCell ref="L2:P2"/>
  </mergeCells>
  <pageMargins left="0.32" right="0.24" top="0.95" bottom="0.5" header="0.511811024" footer="0.511811024"/>
  <pageSetup fitToWidth="2" fitToHeight="2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showGridLines="0" view="pageLayout" topLeftCell="A31" zoomScaleNormal="100" workbookViewId="0">
      <selection activeCell="H50" sqref="H50"/>
    </sheetView>
  </sheetViews>
  <sheetFormatPr baseColWidth="10" defaultRowHeight="15"/>
  <cols>
    <col min="9" max="9" width="8.140625" customWidth="1"/>
  </cols>
  <sheetData/>
  <pageMargins left="0.31496062992125984" right="0.31496062992125984" top="0.3543307086614173" bottom="0.3543307086614173" header="0.31496062992125984" footer="0.3149606299212598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showGridLines="0" view="pageLayout" zoomScaleNormal="100" workbookViewId="0">
      <selection activeCell="E7" sqref="E7"/>
    </sheetView>
  </sheetViews>
  <sheetFormatPr baseColWidth="10" defaultRowHeight="15"/>
  <cols>
    <col min="9" max="9" width="8.140625" customWidth="1"/>
  </cols>
  <sheetData/>
  <pageMargins left="0.31496062992125984" right="0.31496062992125984" top="0.3543307086614173" bottom="0.3543307086614173" header="0.31496062992125984" footer="0.31496062992125984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3:L49"/>
  <sheetViews>
    <sheetView topLeftCell="A22" workbookViewId="0">
      <selection activeCell="E56" sqref="E56"/>
    </sheetView>
  </sheetViews>
  <sheetFormatPr baseColWidth="10" defaultRowHeight="15"/>
  <cols>
    <col min="2" max="2" width="22.140625" customWidth="1"/>
    <col min="3" max="3" width="19.140625" customWidth="1"/>
    <col min="4" max="4" width="27.28515625" customWidth="1"/>
    <col min="5" max="5" width="18.85546875" customWidth="1"/>
    <col min="6" max="6" width="42.7109375" customWidth="1"/>
    <col min="7" max="7" width="21.5703125" customWidth="1"/>
    <col min="8" max="8" width="22.7109375" customWidth="1"/>
    <col min="9" max="9" width="18.7109375" customWidth="1"/>
  </cols>
  <sheetData>
    <row r="3" spans="2:9" ht="15.75">
      <c r="B3" s="2" t="s">
        <v>27</v>
      </c>
      <c r="C3" s="2" t="s">
        <v>28</v>
      </c>
      <c r="D3" s="2" t="s">
        <v>29</v>
      </c>
      <c r="E3" s="2" t="s">
        <v>37</v>
      </c>
      <c r="F3" s="2" t="s">
        <v>38</v>
      </c>
      <c r="G3" s="4" t="s">
        <v>48</v>
      </c>
      <c r="H3" s="2" t="s">
        <v>50</v>
      </c>
      <c r="I3" s="2" t="s">
        <v>79</v>
      </c>
    </row>
    <row r="4" spans="2:9" ht="15.75">
      <c r="B4" s="11" t="s">
        <v>78</v>
      </c>
      <c r="C4" s="11" t="s">
        <v>78</v>
      </c>
      <c r="D4" s="12" t="s">
        <v>78</v>
      </c>
      <c r="E4" s="11" t="s">
        <v>78</v>
      </c>
      <c r="F4" s="13" t="s">
        <v>78</v>
      </c>
      <c r="G4" s="13" t="s">
        <v>77</v>
      </c>
      <c r="H4" s="11" t="s">
        <v>78</v>
      </c>
      <c r="I4" s="15" t="s">
        <v>78</v>
      </c>
    </row>
    <row r="5" spans="2:9" ht="15.75">
      <c r="B5" s="7" t="s">
        <v>30</v>
      </c>
      <c r="C5" s="7" t="s">
        <v>31</v>
      </c>
      <c r="D5" s="7" t="s">
        <v>32</v>
      </c>
      <c r="E5" s="3" t="s">
        <v>39</v>
      </c>
      <c r="F5" s="3" t="s">
        <v>40</v>
      </c>
      <c r="G5" s="5" t="s">
        <v>49</v>
      </c>
      <c r="H5" s="6" t="s">
        <v>51</v>
      </c>
      <c r="I5" s="16">
        <v>6</v>
      </c>
    </row>
    <row r="6" spans="2:9" ht="15.75">
      <c r="B6" s="7" t="s">
        <v>33</v>
      </c>
      <c r="C6" s="7" t="s">
        <v>26</v>
      </c>
      <c r="D6" s="7" t="s">
        <v>133</v>
      </c>
      <c r="E6" s="7" t="s">
        <v>83</v>
      </c>
      <c r="F6" s="3" t="s">
        <v>41</v>
      </c>
      <c r="G6" s="5" t="s">
        <v>69</v>
      </c>
      <c r="H6" s="6" t="s">
        <v>52</v>
      </c>
      <c r="I6" s="16">
        <v>12</v>
      </c>
    </row>
    <row r="7" spans="2:9" ht="15.75">
      <c r="B7" s="7" t="s">
        <v>34</v>
      </c>
      <c r="C7" s="7" t="s">
        <v>35</v>
      </c>
      <c r="D7" s="7" t="s">
        <v>242</v>
      </c>
      <c r="E7" s="7" t="s">
        <v>87</v>
      </c>
      <c r="F7" s="3" t="s">
        <v>42</v>
      </c>
      <c r="H7" s="6" t="s">
        <v>53</v>
      </c>
      <c r="I7" s="16">
        <v>24</v>
      </c>
    </row>
    <row r="8" spans="2:9" ht="15.75">
      <c r="B8" s="7" t="s">
        <v>36</v>
      </c>
      <c r="C8" s="1"/>
      <c r="D8" s="1"/>
      <c r="E8" s="1"/>
      <c r="F8" s="3" t="s">
        <v>43</v>
      </c>
      <c r="H8" s="6" t="s">
        <v>54</v>
      </c>
      <c r="I8" s="16">
        <v>36</v>
      </c>
    </row>
    <row r="9" spans="2:9" ht="15.75">
      <c r="B9" s="10"/>
      <c r="E9" s="1"/>
      <c r="F9" s="3" t="s">
        <v>44</v>
      </c>
      <c r="H9" s="6" t="s">
        <v>55</v>
      </c>
      <c r="I9" s="16">
        <v>48</v>
      </c>
    </row>
    <row r="10" spans="2:9" ht="15.75">
      <c r="E10" s="1"/>
      <c r="F10" s="3" t="s">
        <v>45</v>
      </c>
      <c r="I10" s="16">
        <v>60</v>
      </c>
    </row>
    <row r="11" spans="2:9" ht="15.75">
      <c r="E11" s="1"/>
      <c r="F11" s="3" t="s">
        <v>46</v>
      </c>
      <c r="I11" s="16">
        <v>65</v>
      </c>
    </row>
    <row r="12" spans="2:9" ht="15.75">
      <c r="E12" s="1"/>
      <c r="F12" s="3" t="s">
        <v>47</v>
      </c>
      <c r="I12" s="16">
        <v>72</v>
      </c>
    </row>
    <row r="13" spans="2:9" ht="15.75">
      <c r="I13" s="16">
        <v>78</v>
      </c>
    </row>
    <row r="14" spans="2:9" ht="15.75">
      <c r="B14" s="2" t="s">
        <v>56</v>
      </c>
      <c r="C14" s="2" t="s">
        <v>26</v>
      </c>
      <c r="D14" s="2" t="s">
        <v>61</v>
      </c>
      <c r="E14" s="2" t="s">
        <v>62</v>
      </c>
      <c r="F14" s="2" t="s">
        <v>74</v>
      </c>
      <c r="G14" s="2" t="s">
        <v>68</v>
      </c>
      <c r="H14" s="2" t="s">
        <v>70</v>
      </c>
      <c r="I14" s="16">
        <v>84</v>
      </c>
    </row>
    <row r="15" spans="2:9" ht="15.75">
      <c r="B15" s="11" t="s">
        <v>78</v>
      </c>
      <c r="C15" s="11" t="s">
        <v>78</v>
      </c>
      <c r="D15" s="11" t="s">
        <v>78</v>
      </c>
      <c r="E15" s="13" t="s">
        <v>78</v>
      </c>
      <c r="F15" s="14" t="s">
        <v>77</v>
      </c>
      <c r="G15" s="11" t="s">
        <v>77</v>
      </c>
      <c r="H15" s="11" t="s">
        <v>78</v>
      </c>
    </row>
    <row r="16" spans="2:9" ht="15.75">
      <c r="B16" s="7" t="s">
        <v>57</v>
      </c>
      <c r="C16" s="3" t="s">
        <v>80</v>
      </c>
      <c r="D16" s="8" t="s">
        <v>63</v>
      </c>
      <c r="E16" s="8" t="s">
        <v>64</v>
      </c>
      <c r="F16" s="3" t="s">
        <v>73</v>
      </c>
      <c r="G16" s="7" t="s">
        <v>49</v>
      </c>
      <c r="H16" s="7" t="s">
        <v>71</v>
      </c>
    </row>
    <row r="17" spans="2:8" ht="15.75">
      <c r="B17" s="7" t="s">
        <v>58</v>
      </c>
      <c r="C17" s="3" t="s">
        <v>81</v>
      </c>
      <c r="D17" s="8" t="s">
        <v>65</v>
      </c>
      <c r="E17" s="8" t="s">
        <v>17</v>
      </c>
      <c r="F17" s="3" t="s">
        <v>72</v>
      </c>
      <c r="G17" s="7" t="s">
        <v>69</v>
      </c>
      <c r="H17" s="7" t="s">
        <v>72</v>
      </c>
    </row>
    <row r="18" spans="2:8" ht="15.75">
      <c r="B18" s="7" t="s">
        <v>59</v>
      </c>
      <c r="C18" s="3" t="s">
        <v>82</v>
      </c>
      <c r="D18" s="9" t="s">
        <v>66</v>
      </c>
      <c r="E18" s="9" t="s">
        <v>67</v>
      </c>
    </row>
    <row r="19" spans="2:8" ht="15.75">
      <c r="B19" s="7" t="s">
        <v>84</v>
      </c>
      <c r="C19" s="1"/>
    </row>
    <row r="20" spans="2:8" ht="15.75">
      <c r="B20" s="7" t="s">
        <v>60</v>
      </c>
      <c r="E20" s="71"/>
    </row>
    <row r="22" spans="2:8" ht="15.75">
      <c r="B22" s="17" t="s">
        <v>3</v>
      </c>
    </row>
    <row r="23" spans="2:8" ht="15.75">
      <c r="B23" s="18" t="s">
        <v>78</v>
      </c>
    </row>
    <row r="24" spans="2:8" ht="15.75">
      <c r="B24" s="19" t="s">
        <v>4</v>
      </c>
      <c r="E24" s="19" t="s">
        <v>137</v>
      </c>
    </row>
    <row r="25" spans="2:8" ht="15.75">
      <c r="B25" s="19" t="s">
        <v>85</v>
      </c>
      <c r="E25" s="19" t="s">
        <v>138</v>
      </c>
      <c r="G25" t="s">
        <v>251</v>
      </c>
      <c r="H25">
        <v>72</v>
      </c>
    </row>
    <row r="26" spans="2:8" ht="15.75">
      <c r="B26" s="19" t="s">
        <v>86</v>
      </c>
      <c r="E26" s="19" t="s">
        <v>139</v>
      </c>
      <c r="H26">
        <v>60</v>
      </c>
    </row>
    <row r="27" spans="2:8" ht="15.75">
      <c r="B27" s="19"/>
      <c r="E27" s="19" t="s">
        <v>140</v>
      </c>
    </row>
    <row r="28" spans="2:8" ht="15.75">
      <c r="E28" s="19" t="s">
        <v>141</v>
      </c>
      <c r="G28" t="s">
        <v>252</v>
      </c>
    </row>
    <row r="29" spans="2:8" ht="15.75">
      <c r="E29" s="19" t="s">
        <v>142</v>
      </c>
      <c r="G29">
        <v>84</v>
      </c>
    </row>
    <row r="30" spans="2:8" ht="15.75">
      <c r="E30" s="19" t="s">
        <v>143</v>
      </c>
      <c r="G30">
        <v>72</v>
      </c>
    </row>
    <row r="31" spans="2:8" ht="15.75">
      <c r="E31" s="19" t="s">
        <v>144</v>
      </c>
    </row>
    <row r="32" spans="2:8" ht="15.75">
      <c r="E32" s="19" t="s">
        <v>145</v>
      </c>
    </row>
    <row r="33" spans="1:12" ht="15.75">
      <c r="E33" s="19" t="s">
        <v>146</v>
      </c>
    </row>
    <row r="34" spans="1:12" ht="15.75">
      <c r="E34" s="19" t="s">
        <v>147</v>
      </c>
    </row>
    <row r="35" spans="1:12" ht="15.75">
      <c r="E35" s="19" t="s">
        <v>148</v>
      </c>
    </row>
    <row r="36" spans="1:12" ht="15.75">
      <c r="E36" s="19" t="s">
        <v>149</v>
      </c>
    </row>
    <row r="37" spans="1:12" ht="15.75">
      <c r="E37" s="19" t="s">
        <v>150</v>
      </c>
    </row>
    <row r="38" spans="1:12" ht="15.75">
      <c r="E38" s="19" t="s">
        <v>16</v>
      </c>
    </row>
    <row r="41" spans="1:12" ht="15.75">
      <c r="E41" s="268" t="s">
        <v>257</v>
      </c>
      <c r="F41" t="s">
        <v>259</v>
      </c>
      <c r="G41" t="s">
        <v>261</v>
      </c>
      <c r="H41" t="s">
        <v>262</v>
      </c>
    </row>
    <row r="42" spans="1:12" ht="15.75">
      <c r="E42" s="268" t="s">
        <v>258</v>
      </c>
      <c r="F42" t="s">
        <v>260</v>
      </c>
      <c r="G42" t="b">
        <f>AND(calculadora!Cargo&lt;15000,calculadora!E10&gt;=0.1,calculadora!E10&lt;0.2)</f>
        <v>0</v>
      </c>
      <c r="H42" s="269">
        <v>7.4999999999999997E-2</v>
      </c>
      <c r="J42" t="s">
        <v>267</v>
      </c>
      <c r="K42">
        <v>84</v>
      </c>
      <c r="L42">
        <v>72</v>
      </c>
    </row>
    <row r="43" spans="1:12" ht="15.75">
      <c r="A43">
        <f>IF(calculadora!E8="",0,IF(calculadora!Cargo=0,0,IF(AND(calculadora!Cargo&lt;=14999.99,calculadora!E10&gt;0.1,calculadora!E10&lt;0.1999),72,84)))</f>
        <v>0</v>
      </c>
      <c r="B43" t="s">
        <v>255</v>
      </c>
      <c r="E43" s="268" t="s">
        <v>258</v>
      </c>
      <c r="F43" t="s">
        <v>264</v>
      </c>
      <c r="G43" t="b">
        <f>AND(calculadora!Cargo&lt;15000,calculadora!E10&gt;=0.2,calculadora!E10&lt;0.3)</f>
        <v>0</v>
      </c>
      <c r="H43" s="269">
        <v>7.0000000000000007E-2</v>
      </c>
      <c r="J43" t="s">
        <v>268</v>
      </c>
      <c r="K43">
        <v>72</v>
      </c>
      <c r="L43">
        <v>60</v>
      </c>
    </row>
    <row r="44" spans="1:12" ht="15.75">
      <c r="A44" s="269">
        <f>IF(calculadora!E8=0,0,IF(G42,H42,IF(G43,H43,IF(G44,H44,IF(G45,H45,IF(G46,H46,IF(G47,H47,IF(G48,H48,0))))))))</f>
        <v>0</v>
      </c>
      <c r="B44" t="s">
        <v>256</v>
      </c>
      <c r="E44" s="268" t="s">
        <v>258</v>
      </c>
      <c r="F44" t="s">
        <v>265</v>
      </c>
      <c r="G44" t="b">
        <f>AND(calculadora!Cargo&lt;15000,calculadora!E10&gt;=0.3,calculadora!E10&lt;0.4)</f>
        <v>0</v>
      </c>
      <c r="H44" s="269">
        <v>6.25E-2</v>
      </c>
      <c r="K44">
        <v>60</v>
      </c>
    </row>
    <row r="45" spans="1:12" ht="15.75">
      <c r="E45" s="268" t="s">
        <v>258</v>
      </c>
      <c r="F45" t="s">
        <v>266</v>
      </c>
      <c r="G45" t="b">
        <f>AND(calculadora!Cargo&lt;15000,calculadora!E10&gt;=0.4)</f>
        <v>0</v>
      </c>
      <c r="H45" s="269">
        <v>0.06</v>
      </c>
      <c r="K45">
        <v>48</v>
      </c>
    </row>
    <row r="46" spans="1:12" ht="15.75">
      <c r="E46" s="268" t="s">
        <v>263</v>
      </c>
      <c r="F46" t="s">
        <v>260</v>
      </c>
      <c r="G46" t="b">
        <f>AND(calculadora!Cargo&gt;=15000,calculadora!E10&gt;=0.1,calculadora!E10&lt;0.2)</f>
        <v>0</v>
      </c>
      <c r="H46" s="269">
        <v>0.06</v>
      </c>
    </row>
    <row r="47" spans="1:12" ht="15.75">
      <c r="E47" s="268" t="s">
        <v>263</v>
      </c>
      <c r="F47" t="s">
        <v>264</v>
      </c>
      <c r="G47" t="b">
        <f>AND(calculadora!Cargo&gt;=15000,calculadora!E10&gt;=0.2,calculadora!E10&lt;0.3)</f>
        <v>0</v>
      </c>
      <c r="H47" s="269">
        <v>5.7500000000000002E-2</v>
      </c>
    </row>
    <row r="48" spans="1:12" ht="15.75">
      <c r="E48" s="268" t="s">
        <v>263</v>
      </c>
      <c r="F48" t="s">
        <v>265</v>
      </c>
      <c r="G48" t="b">
        <f>AND(calculadora!Cargo&gt;=15000,calculadora!E10&gt;=0.3)</f>
        <v>0</v>
      </c>
      <c r="H48" s="269">
        <v>5.2499999999999998E-2</v>
      </c>
    </row>
    <row r="49" spans="5:8" ht="15.75">
      <c r="E49" s="268" t="s">
        <v>263</v>
      </c>
      <c r="F49" t="s">
        <v>266</v>
      </c>
      <c r="G49" t="b">
        <f>AND(calculadora!Cargo&gt;=15000,calculadora!E11&gt;=0.4)</f>
        <v>0</v>
      </c>
      <c r="H49" s="269">
        <v>5.2499999999999998E-2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899023C231304B9DAB565EE292510F" ma:contentTypeVersion="9" ma:contentTypeDescription="Crear nuevo documento." ma:contentTypeScope="" ma:versionID="21ceef22feb96adbcd40f50685c8b495">
  <xsd:schema xmlns:xsd="http://www.w3.org/2001/XMLSchema" xmlns:p="http://schemas.microsoft.com/office/2006/metadata/properties" targetNamespace="http://schemas.microsoft.com/office/2006/metadata/properties" ma:root="true" ma:fieldsID="a842e179fd711325ceab02fb6457132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7C4004-ADCA-4A2E-B58B-D7CEF2DB24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2ED4D37-EDE6-4150-AE46-4E4CD57D240E}">
  <ds:schemaRefs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CD7595AE-4ADB-4610-8988-3C1471FEB3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57</vt:i4>
      </vt:variant>
    </vt:vector>
  </HeadingPairs>
  <TitlesOfParts>
    <vt:vector size="58" baseType="lpstr">
      <vt:lpstr>calculadora</vt:lpstr>
      <vt:lpstr>abono</vt:lpstr>
      <vt:lpstr>'Cotización-análisis_auto'!Área_de_impresión</vt:lpstr>
      <vt:lpstr>'Liquidación empl'!Área_de_impresión</vt:lpstr>
      <vt:lpstr>aseguradora</vt:lpstr>
      <vt:lpstr>Auto</vt:lpstr>
      <vt:lpstr>calculadora!Cargo</vt:lpstr>
      <vt:lpstr>Cargo_a</vt:lpstr>
      <vt:lpstr>categoría_a</vt:lpstr>
      <vt:lpstr>Categoría_trámite</vt:lpstr>
      <vt:lpstr>Cédula_a</vt:lpstr>
      <vt:lpstr>clase_préstamo</vt:lpstr>
      <vt:lpstr>Condición1</vt:lpstr>
      <vt:lpstr>Condición2</vt:lpstr>
      <vt:lpstr>Edad_a</vt:lpstr>
      <vt:lpstr>edad1</vt:lpstr>
      <vt:lpstr>Ejec_negocios</vt:lpstr>
      <vt:lpstr>Empresa</vt:lpstr>
      <vt:lpstr>empresa_anterior</vt:lpstr>
      <vt:lpstr>EXCEPCIONES</vt:lpstr>
      <vt:lpstr>fecha_nac_a</vt:lpstr>
      <vt:lpstr>Feria</vt:lpstr>
      <vt:lpstr>feria_elegir</vt:lpstr>
      <vt:lpstr>Forma_pago</vt:lpstr>
      <vt:lpstr>letra_auto</vt:lpstr>
      <vt:lpstr>mantiene_póliza</vt:lpstr>
      <vt:lpstr>Mantiene_póliza_vigente</vt:lpstr>
      <vt:lpstr>Menosde15abonominimo</vt:lpstr>
      <vt:lpstr>Mercado</vt:lpstr>
      <vt:lpstr>mhtml_http___miredestrella_TasasyCargos_Documents_Tasas_20y_20Plazos_20junio_202016.mht</vt:lpstr>
      <vt:lpstr>monto2</vt:lpstr>
      <vt:lpstr>Nombre_a</vt:lpstr>
      <vt:lpstr>nombre_feria</vt:lpstr>
      <vt:lpstr>pago_elige</vt:lpstr>
      <vt:lpstr>Plaz</vt:lpstr>
      <vt:lpstr>Plazo</vt:lpstr>
      <vt:lpstr>plazo_auto</vt:lpstr>
      <vt:lpstr>Plazos</vt:lpstr>
      <vt:lpstr>póliza</vt:lpstr>
      <vt:lpstr>Póliza_auto</vt:lpstr>
      <vt:lpstr>Propósito</vt:lpstr>
      <vt:lpstr>recargo_a</vt:lpstr>
      <vt:lpstr>salario2</vt:lpstr>
      <vt:lpstr>seg_auto</vt:lpstr>
      <vt:lpstr>Seguro</vt:lpstr>
      <vt:lpstr>seguro_selec</vt:lpstr>
      <vt:lpstr>calculadora!tasa1</vt:lpstr>
      <vt:lpstr>tasa2</vt:lpstr>
      <vt:lpstr>tiempo_actual_a</vt:lpstr>
      <vt:lpstr>tiempo_anterior_a</vt:lpstr>
      <vt:lpstr>Tipo_contacto</vt:lpstr>
      <vt:lpstr>tipo_de_préstamo</vt:lpstr>
      <vt:lpstr>Tipo_préstamo</vt:lpstr>
      <vt:lpstr>tipo_Referencias</vt:lpstr>
      <vt:lpstr>trabajo_a</vt:lpstr>
      <vt:lpstr>valor_auto</vt:lpstr>
      <vt:lpstr>Ver</vt:lpstr>
      <vt:lpstr>Ver_Tasas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</dc:creator>
  <cp:lastModifiedBy>Daniel Eduardo González</cp:lastModifiedBy>
  <cp:lastPrinted>2016-06-20T19:36:57Z</cp:lastPrinted>
  <dcterms:created xsi:type="dcterms:W3CDTF">2013-09-12T21:01:07Z</dcterms:created>
  <dcterms:modified xsi:type="dcterms:W3CDTF">2019-10-25T16:25:51Z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0x010100D1899023C231304B9DAB565EE292510F</vt:lpwstr>
  </property>
</Properties>
</file>